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435" windowWidth="27795" windowHeight="12180" activeTab="3"/>
  </bookViews>
  <sheets>
    <sheet name="封面" sheetId="5" r:id="rId1"/>
    <sheet name="玉林市政府性基金预算收入表" sheetId="1" r:id="rId2"/>
    <sheet name="玉林市政府性基金预算支出表" sheetId="2" r:id="rId3"/>
    <sheet name="玉林市市级政府性基金预算收入表" sheetId="3" r:id="rId4"/>
    <sheet name="玉林市市级政府性基金预算支出表" sheetId="4" r:id="rId5"/>
  </sheets>
  <definedNames>
    <definedName name="_xlnm.Print_Area" localSheetId="4">玉林市市级政府性基金预算支出表!$A$1:$K$59</definedName>
    <definedName name="_xlnm.Print_Area" localSheetId="2">玉林市政府性基金预算支出表!$A$1:$K$59</definedName>
    <definedName name="_xlnm.Print_Titles" localSheetId="3">玉林市市级政府性基金预算收入表!$2:$6</definedName>
    <definedName name="_xlnm.Print_Titles" localSheetId="4">玉林市市级政府性基金预算支出表!$2:$6</definedName>
    <definedName name="_xlnm.Print_Titles" localSheetId="1">玉林市政府性基金预算收入表!$2:$6</definedName>
    <definedName name="_xlnm.Print_Titles" localSheetId="2">玉林市政府性基金预算支出表!$2:$6</definedName>
  </definedNames>
  <calcPr calcId="124519"/>
</workbook>
</file>

<file path=xl/calcChain.xml><?xml version="1.0" encoding="utf-8"?>
<calcChain xmlns="http://schemas.openxmlformats.org/spreadsheetml/2006/main">
  <c r="I15" i="3"/>
  <c r="I14"/>
  <c r="I17"/>
  <c r="D54" i="4"/>
  <c r="I35" i="1"/>
  <c r="B18" i="4"/>
  <c r="C18"/>
  <c r="D18"/>
  <c r="E9"/>
  <c r="E10"/>
  <c r="C14" i="3"/>
  <c r="D14"/>
  <c r="I18" i="2"/>
  <c r="I19"/>
  <c r="I20"/>
  <c r="I21"/>
  <c r="D35" i="1"/>
  <c r="C35"/>
  <c r="I54" i="2"/>
  <c r="J12" i="4"/>
  <c r="J13"/>
  <c r="J14"/>
  <c r="J15"/>
  <c r="J16"/>
  <c r="J18"/>
  <c r="J19"/>
  <c r="J20"/>
  <c r="J21"/>
  <c r="J22"/>
  <c r="J23"/>
  <c r="J24"/>
  <c r="J25"/>
  <c r="J26"/>
  <c r="J27"/>
  <c r="J28"/>
  <c r="J29"/>
  <c r="J30"/>
  <c r="J31"/>
  <c r="J32"/>
  <c r="J33"/>
  <c r="J34"/>
  <c r="J36"/>
  <c r="J37"/>
  <c r="J39"/>
  <c r="J40"/>
  <c r="J43"/>
  <c r="J44"/>
  <c r="J46"/>
  <c r="J48"/>
  <c r="J10" i="2"/>
  <c r="J12"/>
  <c r="J13"/>
  <c r="J14"/>
  <c r="J15"/>
  <c r="J16"/>
  <c r="J19"/>
  <c r="J20"/>
  <c r="J21"/>
  <c r="J22"/>
  <c r="J24"/>
  <c r="J25"/>
  <c r="J26"/>
  <c r="J27"/>
  <c r="J28"/>
  <c r="J29"/>
  <c r="J30"/>
  <c r="J31"/>
  <c r="J32"/>
  <c r="J33"/>
  <c r="J34"/>
  <c r="J36"/>
  <c r="J37"/>
  <c r="J39"/>
  <c r="J40"/>
  <c r="J43"/>
  <c r="J44"/>
  <c r="J46"/>
  <c r="J48"/>
  <c r="F18" i="4"/>
  <c r="D56" i="2"/>
  <c r="D14" i="1"/>
  <c r="C14"/>
  <c r="C15"/>
  <c r="C54" i="2"/>
  <c r="D18"/>
  <c r="D42"/>
  <c r="D31" i="1"/>
  <c r="I14"/>
  <c r="B14"/>
  <c r="F14"/>
  <c r="F15"/>
  <c r="I57" i="2"/>
  <c r="D57"/>
  <c r="C57"/>
  <c r="B57"/>
  <c r="I51"/>
  <c r="I50" s="1"/>
  <c r="I59" s="1"/>
  <c r="D51"/>
  <c r="C51"/>
  <c r="C50" s="1"/>
  <c r="B51"/>
  <c r="D50"/>
  <c r="B50"/>
  <c r="K48"/>
  <c r="G48"/>
  <c r="H48"/>
  <c r="E48"/>
  <c r="I47"/>
  <c r="J47" s="1"/>
  <c r="K47" s="1"/>
  <c r="F47"/>
  <c r="D47"/>
  <c r="C47"/>
  <c r="B47"/>
  <c r="K46"/>
  <c r="G46"/>
  <c r="G45" s="1"/>
  <c r="E46"/>
  <c r="I45"/>
  <c r="J45" s="1"/>
  <c r="K45" s="1"/>
  <c r="F45"/>
  <c r="D45"/>
  <c r="C45"/>
  <c r="B45"/>
  <c r="K44"/>
  <c r="G44"/>
  <c r="H44" s="1"/>
  <c r="E44"/>
  <c r="F42"/>
  <c r="G42"/>
  <c r="E42"/>
  <c r="B42"/>
  <c r="J42" s="1"/>
  <c r="K42" s="1"/>
  <c r="I41"/>
  <c r="F41"/>
  <c r="D41"/>
  <c r="C41"/>
  <c r="K39"/>
  <c r="G39"/>
  <c r="H39" s="1"/>
  <c r="E39"/>
  <c r="I38"/>
  <c r="J38" s="1"/>
  <c r="K38" s="1"/>
  <c r="F38"/>
  <c r="D38"/>
  <c r="C38"/>
  <c r="E38" s="1"/>
  <c r="B38"/>
  <c r="K37"/>
  <c r="H37"/>
  <c r="G37"/>
  <c r="E37"/>
  <c r="G36"/>
  <c r="H36" s="1"/>
  <c r="E36"/>
  <c r="I35"/>
  <c r="J35" s="1"/>
  <c r="F35"/>
  <c r="D35"/>
  <c r="E35" s="1"/>
  <c r="C35"/>
  <c r="B35"/>
  <c r="K34"/>
  <c r="G34"/>
  <c r="H34" s="1"/>
  <c r="E34"/>
  <c r="K33"/>
  <c r="G33"/>
  <c r="H33"/>
  <c r="E33"/>
  <c r="K32"/>
  <c r="G32"/>
  <c r="H32"/>
  <c r="E32"/>
  <c r="K31"/>
  <c r="G31"/>
  <c r="H31"/>
  <c r="E31"/>
  <c r="K30"/>
  <c r="G30"/>
  <c r="H30"/>
  <c r="E30"/>
  <c r="K29"/>
  <c r="G29"/>
  <c r="H29"/>
  <c r="E29"/>
  <c r="K27"/>
  <c r="G27"/>
  <c r="H27"/>
  <c r="E27"/>
  <c r="K25"/>
  <c r="G25"/>
  <c r="H25" s="1"/>
  <c r="E25"/>
  <c r="I23"/>
  <c r="J23" s="1"/>
  <c r="K23" s="1"/>
  <c r="F23"/>
  <c r="D23"/>
  <c r="E23" s="1"/>
  <c r="C23"/>
  <c r="B23"/>
  <c r="K22"/>
  <c r="G22"/>
  <c r="H22" s="1"/>
  <c r="E22"/>
  <c r="K21"/>
  <c r="G21"/>
  <c r="H21" s="1"/>
  <c r="E21"/>
  <c r="K20"/>
  <c r="G20"/>
  <c r="H20" s="1"/>
  <c r="E20"/>
  <c r="K19"/>
  <c r="G19"/>
  <c r="H19" s="1"/>
  <c r="E19"/>
  <c r="F18"/>
  <c r="G18" s="1"/>
  <c r="E18"/>
  <c r="B18"/>
  <c r="J18" s="1"/>
  <c r="K18" s="1"/>
  <c r="I17"/>
  <c r="F17"/>
  <c r="F49" s="1"/>
  <c r="D17"/>
  <c r="C17"/>
  <c r="K16"/>
  <c r="G16"/>
  <c r="K15"/>
  <c r="G15"/>
  <c r="K13"/>
  <c r="G13"/>
  <c r="H13"/>
  <c r="E13"/>
  <c r="K12"/>
  <c r="G12"/>
  <c r="H12"/>
  <c r="E12"/>
  <c r="I11"/>
  <c r="J11" s="1"/>
  <c r="K11" s="1"/>
  <c r="F11"/>
  <c r="D11"/>
  <c r="E11" s="1"/>
  <c r="C11"/>
  <c r="B11"/>
  <c r="K10"/>
  <c r="G10"/>
  <c r="H10" s="1"/>
  <c r="E10"/>
  <c r="I9"/>
  <c r="J9" s="1"/>
  <c r="K9" s="1"/>
  <c r="F9"/>
  <c r="D9"/>
  <c r="G9"/>
  <c r="H9" s="1"/>
  <c r="C9"/>
  <c r="B9"/>
  <c r="K8"/>
  <c r="G8"/>
  <c r="I39" i="1"/>
  <c r="I34"/>
  <c r="D39"/>
  <c r="C39"/>
  <c r="B39"/>
  <c r="B37"/>
  <c r="B35"/>
  <c r="B34"/>
  <c r="D34"/>
  <c r="C34"/>
  <c r="J31"/>
  <c r="K31" s="1"/>
  <c r="F31"/>
  <c r="G31"/>
  <c r="H31"/>
  <c r="E31"/>
  <c r="B31"/>
  <c r="J27"/>
  <c r="K27"/>
  <c r="G27"/>
  <c r="H27" s="1"/>
  <c r="E27"/>
  <c r="J23"/>
  <c r="K23" s="1"/>
  <c r="G23"/>
  <c r="H23" s="1"/>
  <c r="E23"/>
  <c r="J18"/>
  <c r="K18" s="1"/>
  <c r="G18"/>
  <c r="H18"/>
  <c r="E18"/>
  <c r="J17"/>
  <c r="K17" s="1"/>
  <c r="G17"/>
  <c r="J16"/>
  <c r="K16" s="1"/>
  <c r="G16"/>
  <c r="H16"/>
  <c r="E16"/>
  <c r="J15"/>
  <c r="K15" s="1"/>
  <c r="G15"/>
  <c r="H15" s="1"/>
  <c r="E15"/>
  <c r="J14"/>
  <c r="K14"/>
  <c r="G14"/>
  <c r="H14" s="1"/>
  <c r="E14"/>
  <c r="I13"/>
  <c r="J13" s="1"/>
  <c r="K13" s="1"/>
  <c r="F13"/>
  <c r="D13"/>
  <c r="C13"/>
  <c r="E13" s="1"/>
  <c r="B13"/>
  <c r="B33"/>
  <c r="B42"/>
  <c r="J12"/>
  <c r="K12" s="1"/>
  <c r="G12"/>
  <c r="H12"/>
  <c r="E12"/>
  <c r="J11"/>
  <c r="K11"/>
  <c r="G11"/>
  <c r="H11" s="1"/>
  <c r="E11"/>
  <c r="D58" i="4"/>
  <c r="D57" s="1"/>
  <c r="C58"/>
  <c r="C57" s="1"/>
  <c r="I57"/>
  <c r="B57"/>
  <c r="I51"/>
  <c r="I50"/>
  <c r="D51"/>
  <c r="D50"/>
  <c r="C51"/>
  <c r="B51"/>
  <c r="B50"/>
  <c r="C50"/>
  <c r="F47"/>
  <c r="C47"/>
  <c r="B47"/>
  <c r="J47" s="1"/>
  <c r="K46"/>
  <c r="E46"/>
  <c r="G46"/>
  <c r="H46"/>
  <c r="I45"/>
  <c r="J45" s="1"/>
  <c r="K45" s="1"/>
  <c r="F45"/>
  <c r="D45"/>
  <c r="G45"/>
  <c r="C45"/>
  <c r="B45"/>
  <c r="K44"/>
  <c r="E44"/>
  <c r="G44"/>
  <c r="H44"/>
  <c r="G42"/>
  <c r="C42"/>
  <c r="E42"/>
  <c r="B42"/>
  <c r="J42" s="1"/>
  <c r="K42" s="1"/>
  <c r="I41"/>
  <c r="F41"/>
  <c r="D41"/>
  <c r="G39"/>
  <c r="H39"/>
  <c r="E39"/>
  <c r="I38"/>
  <c r="J38" s="1"/>
  <c r="F38"/>
  <c r="D38"/>
  <c r="E38"/>
  <c r="C38"/>
  <c r="B38"/>
  <c r="K36"/>
  <c r="G36"/>
  <c r="H36" s="1"/>
  <c r="E36"/>
  <c r="I35"/>
  <c r="J35" s="1"/>
  <c r="K35" s="1"/>
  <c r="F35"/>
  <c r="D35"/>
  <c r="C35"/>
  <c r="E35" s="1"/>
  <c r="B35"/>
  <c r="K34"/>
  <c r="G34"/>
  <c r="H34"/>
  <c r="E34"/>
  <c r="K33"/>
  <c r="G33"/>
  <c r="H33"/>
  <c r="E33"/>
  <c r="K32"/>
  <c r="G32"/>
  <c r="H32" s="1"/>
  <c r="E32"/>
  <c r="K31"/>
  <c r="G31"/>
  <c r="H31" s="1"/>
  <c r="E31"/>
  <c r="K30"/>
  <c r="G30"/>
  <c r="H30" s="1"/>
  <c r="E30"/>
  <c r="K29"/>
  <c r="G29"/>
  <c r="H29"/>
  <c r="E29"/>
  <c r="K22"/>
  <c r="G22"/>
  <c r="H22"/>
  <c r="E22"/>
  <c r="K21"/>
  <c r="G21"/>
  <c r="H21"/>
  <c r="E21"/>
  <c r="K20"/>
  <c r="G20"/>
  <c r="H20"/>
  <c r="E20"/>
  <c r="K19"/>
  <c r="G19"/>
  <c r="H19"/>
  <c r="E19"/>
  <c r="K18"/>
  <c r="G18"/>
  <c r="C17"/>
  <c r="E17" s="1"/>
  <c r="I17"/>
  <c r="F17"/>
  <c r="B17"/>
  <c r="K12"/>
  <c r="G12"/>
  <c r="G11"/>
  <c r="H11" s="1"/>
  <c r="E12"/>
  <c r="I11"/>
  <c r="J11" s="1"/>
  <c r="K11" s="1"/>
  <c r="F11"/>
  <c r="D11"/>
  <c r="C11"/>
  <c r="B11"/>
  <c r="J10"/>
  <c r="K10" s="1"/>
  <c r="G10"/>
  <c r="H10"/>
  <c r="I39" i="3"/>
  <c r="D39"/>
  <c r="D34" s="1"/>
  <c r="C39"/>
  <c r="B39"/>
  <c r="B34"/>
  <c r="C37"/>
  <c r="C34" s="1"/>
  <c r="C35"/>
  <c r="I34"/>
  <c r="J31"/>
  <c r="K31" s="1"/>
  <c r="G31"/>
  <c r="H31" s="1"/>
  <c r="F31"/>
  <c r="C31"/>
  <c r="E31"/>
  <c r="B31"/>
  <c r="J27"/>
  <c r="K27" s="1"/>
  <c r="G27"/>
  <c r="H27" s="1"/>
  <c r="E27"/>
  <c r="J23"/>
  <c r="K23"/>
  <c r="F23"/>
  <c r="G23"/>
  <c r="H23"/>
  <c r="E23"/>
  <c r="C23"/>
  <c r="J18"/>
  <c r="K18" s="1"/>
  <c r="G18"/>
  <c r="H18" s="1"/>
  <c r="E18"/>
  <c r="J17"/>
  <c r="F17"/>
  <c r="G17" s="1"/>
  <c r="H17" s="1"/>
  <c r="J16"/>
  <c r="K16"/>
  <c r="F16"/>
  <c r="G16" s="1"/>
  <c r="H16" s="1"/>
  <c r="E16"/>
  <c r="G15"/>
  <c r="H15" s="1"/>
  <c r="D13"/>
  <c r="E13" s="1"/>
  <c r="C15"/>
  <c r="E15" s="1"/>
  <c r="J14"/>
  <c r="K14" s="1"/>
  <c r="F14"/>
  <c r="F13" s="1"/>
  <c r="E14"/>
  <c r="I13"/>
  <c r="I33"/>
  <c r="C13"/>
  <c r="C33" s="1"/>
  <c r="C42" s="1"/>
  <c r="B13"/>
  <c r="B33" s="1"/>
  <c r="B42" s="1"/>
  <c r="J12"/>
  <c r="K12" s="1"/>
  <c r="F12"/>
  <c r="G12" s="1"/>
  <c r="H12" s="1"/>
  <c r="E12"/>
  <c r="J11"/>
  <c r="K11"/>
  <c r="F11"/>
  <c r="E11"/>
  <c r="J17" i="4"/>
  <c r="I49"/>
  <c r="E45"/>
  <c r="E11"/>
  <c r="G38"/>
  <c r="H38" s="1"/>
  <c r="F49"/>
  <c r="I49" i="2"/>
  <c r="E17"/>
  <c r="E47"/>
  <c r="E45"/>
  <c r="E41"/>
  <c r="C49"/>
  <c r="G23"/>
  <c r="H23" s="1"/>
  <c r="G38"/>
  <c r="H38" s="1"/>
  <c r="G13" i="1"/>
  <c r="H13" s="1"/>
  <c r="G41" i="2"/>
  <c r="H41" s="1"/>
  <c r="H42"/>
  <c r="D49"/>
  <c r="E9"/>
  <c r="G11"/>
  <c r="H11"/>
  <c r="H46"/>
  <c r="G47"/>
  <c r="G35"/>
  <c r="H35"/>
  <c r="D33" i="1"/>
  <c r="F33"/>
  <c r="H18" i="4"/>
  <c r="G17"/>
  <c r="H17"/>
  <c r="G41"/>
  <c r="H41" s="1"/>
  <c r="H42"/>
  <c r="D17"/>
  <c r="C41"/>
  <c r="E41" s="1"/>
  <c r="H12"/>
  <c r="E18"/>
  <c r="D47"/>
  <c r="G48"/>
  <c r="E48"/>
  <c r="J15" i="3"/>
  <c r="K15" s="1"/>
  <c r="G11"/>
  <c r="H11" s="1"/>
  <c r="G14"/>
  <c r="H14" s="1"/>
  <c r="H47" i="2"/>
  <c r="D59"/>
  <c r="E49"/>
  <c r="D42" i="1"/>
  <c r="G33"/>
  <c r="H33"/>
  <c r="E47" i="4"/>
  <c r="D49"/>
  <c r="K17"/>
  <c r="H48"/>
  <c r="G47"/>
  <c r="D61" i="2"/>
  <c r="H47" i="4"/>
  <c r="G13" i="3" l="1"/>
  <c r="H13" s="1"/>
  <c r="F33"/>
  <c r="H18" i="2"/>
  <c r="G17"/>
  <c r="H17" s="1"/>
  <c r="H45"/>
  <c r="J33" i="3"/>
  <c r="K33" s="1"/>
  <c r="C59" i="2"/>
  <c r="D59" i="4"/>
  <c r="B41" i="2"/>
  <c r="B49" s="1"/>
  <c r="E49" i="4"/>
  <c r="C49"/>
  <c r="C59" s="1"/>
  <c r="J13" i="3"/>
  <c r="K13" s="1"/>
  <c r="I59" i="4"/>
  <c r="G35"/>
  <c r="H35" s="1"/>
  <c r="B41"/>
  <c r="H45"/>
  <c r="C33" i="1"/>
  <c r="I33"/>
  <c r="B17" i="2"/>
  <c r="J17" s="1"/>
  <c r="K17" s="1"/>
  <c r="D33" i="3"/>
  <c r="I42"/>
  <c r="E33" i="1" l="1"/>
  <c r="C42"/>
  <c r="C61" i="2" s="1"/>
  <c r="J49"/>
  <c r="K49" s="1"/>
  <c r="B59"/>
  <c r="B61" s="1"/>
  <c r="I42" i="1"/>
  <c r="I61" i="2" s="1"/>
  <c r="J33" i="1"/>
  <c r="K33" s="1"/>
  <c r="J41" i="4"/>
  <c r="K41" s="1"/>
  <c r="B49"/>
  <c r="G33" i="3"/>
  <c r="H33" s="1"/>
  <c r="D42"/>
  <c r="E33"/>
  <c r="J41" i="2"/>
  <c r="K41" s="1"/>
  <c r="G49" i="4"/>
  <c r="H49" s="1"/>
  <c r="G49" i="2"/>
  <c r="H49" s="1"/>
  <c r="B59" i="4" l="1"/>
  <c r="J49"/>
  <c r="K49" s="1"/>
</calcChain>
</file>

<file path=xl/sharedStrings.xml><?xml version="1.0" encoding="utf-8"?>
<sst xmlns="http://schemas.openxmlformats.org/spreadsheetml/2006/main" count="254" uniqueCount="181">
  <si>
    <t>附件2</t>
    <phoneticPr fontId="3" type="noConversion"/>
  </si>
  <si>
    <t>单位：万元</t>
    <phoneticPr fontId="3" type="noConversion"/>
  </si>
  <si>
    <t>项       目</t>
    <phoneticPr fontId="3" type="noConversion"/>
  </si>
  <si>
    <t>2017年</t>
    <phoneticPr fontId="3" type="noConversion"/>
  </si>
  <si>
    <t>2018年预算</t>
    <phoneticPr fontId="3" type="noConversion"/>
  </si>
  <si>
    <t>年初预算数</t>
    <phoneticPr fontId="3" type="noConversion"/>
  </si>
  <si>
    <t>年度预算数</t>
    <phoneticPr fontId="3" type="noConversion"/>
  </si>
  <si>
    <t>完成年度预算%</t>
    <phoneticPr fontId="3" type="noConversion"/>
  </si>
  <si>
    <t>2016年决算</t>
    <phoneticPr fontId="3" type="noConversion"/>
  </si>
  <si>
    <t>比上年完成数增减</t>
    <phoneticPr fontId="3" type="noConversion"/>
  </si>
  <si>
    <t>建议数</t>
    <phoneticPr fontId="3" type="noConversion"/>
  </si>
  <si>
    <t>比2017年执行数增减</t>
    <phoneticPr fontId="3" type="noConversion"/>
  </si>
  <si>
    <t>金额</t>
    <phoneticPr fontId="3" type="noConversion"/>
  </si>
  <si>
    <t>%</t>
    <phoneticPr fontId="3" type="noConversion"/>
  </si>
  <si>
    <t>一、农网还贷资金收入</t>
    <phoneticPr fontId="3" type="noConversion"/>
  </si>
  <si>
    <t>二、港口建设费收入</t>
    <phoneticPr fontId="3" type="noConversion"/>
  </si>
  <si>
    <t>三、国家电影事业发展专项资金收入</t>
    <phoneticPr fontId="3" type="noConversion"/>
  </si>
  <si>
    <t>四、新菜地开发建设基金收入</t>
    <phoneticPr fontId="3" type="noConversion"/>
  </si>
  <si>
    <t>五、国有土地收益基金收入</t>
    <phoneticPr fontId="3" type="noConversion"/>
  </si>
  <si>
    <t>六、农业土地开发资金收入</t>
    <phoneticPr fontId="3" type="noConversion"/>
  </si>
  <si>
    <t>七、国有土地使用权出让收入</t>
    <phoneticPr fontId="3" type="noConversion"/>
  </si>
  <si>
    <t xml:space="preserve">    土地出让价款收入</t>
    <phoneticPr fontId="3" type="noConversion"/>
  </si>
  <si>
    <t xml:space="preserve">    补缴的土地价款</t>
    <phoneticPr fontId="3" type="noConversion"/>
  </si>
  <si>
    <t xml:space="preserve">    划拨土地收入</t>
    <phoneticPr fontId="3" type="noConversion"/>
  </si>
  <si>
    <t xml:space="preserve">    缴纳新增建设用地土地有偿使用费</t>
    <phoneticPr fontId="3" type="noConversion"/>
  </si>
  <si>
    <t xml:space="preserve">    其他土地出让收入</t>
    <phoneticPr fontId="3" type="noConversion"/>
  </si>
  <si>
    <t>八、大中型水库库区基金收入</t>
    <phoneticPr fontId="3" type="noConversion"/>
  </si>
  <si>
    <t>九、彩票公益金收入</t>
    <phoneticPr fontId="3" type="noConversion"/>
  </si>
  <si>
    <t xml:space="preserve">    福利彩票公益金收入</t>
    <phoneticPr fontId="3" type="noConversion"/>
  </si>
  <si>
    <t xml:space="preserve">    体育彩票公益金收入</t>
    <phoneticPr fontId="3" type="noConversion"/>
  </si>
  <si>
    <t>十、城市基础设施配套费收入</t>
    <phoneticPr fontId="3" type="noConversion"/>
  </si>
  <si>
    <t>十一、小型水库移民扶助基金收入</t>
    <phoneticPr fontId="3" type="noConversion"/>
  </si>
  <si>
    <t>十二、国家重大水利工程建设基金收入</t>
    <phoneticPr fontId="3" type="noConversion"/>
  </si>
  <si>
    <t>十三、车辆通行费</t>
    <phoneticPr fontId="3" type="noConversion"/>
  </si>
  <si>
    <t>十四、污水处理费收入</t>
    <phoneticPr fontId="3" type="noConversion"/>
  </si>
  <si>
    <t>十五、彩票发行机构和彩票销售机构的业务费用</t>
    <phoneticPr fontId="3" type="noConversion"/>
  </si>
  <si>
    <t xml:space="preserve">      福利彩票销售机构的业务费用</t>
    <phoneticPr fontId="3" type="noConversion"/>
  </si>
  <si>
    <t xml:space="preserve">      体育彩票销售机构的业务费用</t>
    <phoneticPr fontId="3" type="noConversion"/>
  </si>
  <si>
    <t>十六、其他政府性基金收入</t>
    <phoneticPr fontId="3" type="noConversion"/>
  </si>
  <si>
    <t>十七、专项债券对应项目专项收入</t>
    <phoneticPr fontId="2" type="noConversion"/>
  </si>
  <si>
    <t>政府性基金预算收入合计</t>
  </si>
  <si>
    <t>转移性收入</t>
  </si>
  <si>
    <t xml:space="preserve">  上级补助收入</t>
    <phoneticPr fontId="3" type="noConversion"/>
  </si>
  <si>
    <r>
      <t xml:space="preserve"> </t>
    </r>
    <r>
      <rPr>
        <sz val="11"/>
        <rFont val="宋体"/>
        <family val="3"/>
        <charset val="134"/>
      </rPr>
      <t xml:space="preserve"> 下级上解收入</t>
    </r>
    <phoneticPr fontId="3" type="noConversion"/>
  </si>
  <si>
    <t xml:space="preserve">  上年结余收入</t>
  </si>
  <si>
    <t xml:space="preserve">  调入资金</t>
  </si>
  <si>
    <t xml:space="preserve">  专项债务收入</t>
    <phoneticPr fontId="3" type="noConversion"/>
  </si>
  <si>
    <t xml:space="preserve">    其中：发行新增专项债券收入</t>
    <phoneticPr fontId="3" type="noConversion"/>
  </si>
  <si>
    <t xml:space="preserve">         发行置换专项债券收入</t>
    <phoneticPr fontId="3" type="noConversion"/>
  </si>
  <si>
    <t>收入总计</t>
  </si>
  <si>
    <t>附件2</t>
  </si>
  <si>
    <t>单位：万元</t>
  </si>
  <si>
    <t>项目</t>
  </si>
  <si>
    <t>2017年</t>
    <phoneticPr fontId="2" type="noConversion"/>
  </si>
  <si>
    <t>2018年预算</t>
    <phoneticPr fontId="2" type="noConversion"/>
  </si>
  <si>
    <t>年初预算数</t>
  </si>
  <si>
    <t>年度预算数</t>
  </si>
  <si>
    <t>完成年度预算%</t>
  </si>
  <si>
    <t>2016年决算</t>
    <phoneticPr fontId="2" type="noConversion"/>
  </si>
  <si>
    <t>比上年完成数增减</t>
  </si>
  <si>
    <t>建议数</t>
  </si>
  <si>
    <t>比2017年年初预算增减</t>
    <phoneticPr fontId="2" type="noConversion"/>
  </si>
  <si>
    <t>金额</t>
  </si>
  <si>
    <t>%</t>
  </si>
  <si>
    <t>一、科学技术支出</t>
  </si>
  <si>
    <t xml:space="preserve">    核电站乏燃料处理处置基金支出</t>
  </si>
  <si>
    <t>二、文化体育与传媒支出</t>
  </si>
  <si>
    <t xml:space="preserve">    国家电影事业发展专项资金及对应专项债务收入安排的支出</t>
  </si>
  <si>
    <t>三、社会保障和就业支出</t>
  </si>
  <si>
    <t xml:space="preserve">    大中型水库移民后期扶持基金支出</t>
  </si>
  <si>
    <t xml:space="preserve">    小型水库移民扶助基金及对应专项债务收入安排的支出</t>
  </si>
  <si>
    <t>四、节能环保支出</t>
  </si>
  <si>
    <t xml:space="preserve">    可再生能源电价附加收入安排的支出</t>
  </si>
  <si>
    <t xml:space="preserve">    废弃电器电子产品处理基金支出</t>
  </si>
  <si>
    <t>五、城乡社区支出</t>
  </si>
  <si>
    <t xml:space="preserve">    国有土地使用权出让收入及对应专项债务收入安排的支出</t>
  </si>
  <si>
    <t xml:space="preserve">    国有土地收益基金及对应专项债务收入安排的支出</t>
  </si>
  <si>
    <t xml:space="preserve">    农业土地开发资金及对应专项债务收入安排的支出</t>
  </si>
  <si>
    <t xml:space="preserve">    城市基础设施配套费及对应专项债务收入安排的支出</t>
  </si>
  <si>
    <t xml:space="preserve">    污水处理费及对应专项债务收入安排的支出</t>
  </si>
  <si>
    <t>六、农林水支出</t>
  </si>
  <si>
    <t xml:space="preserve">    新菜地开发建设基金及对应专项债务收入支出</t>
  </si>
  <si>
    <t xml:space="preserve">    大中型水库库区基金及对应专项债务收入安排的支出</t>
  </si>
  <si>
    <t xml:space="preserve">    三峡水库库区基金支出</t>
  </si>
  <si>
    <t xml:space="preserve">    国家重大水利工程建设基金及对应专项债务收入安排的支出</t>
  </si>
  <si>
    <t>七、交通运输支出</t>
  </si>
  <si>
    <t xml:space="preserve">    海南省高等级公路车辆通行附加费及对应专项债务收入安排的支出</t>
  </si>
  <si>
    <t xml:space="preserve">    车辆通行费及对应专项债务收入安排的支出</t>
  </si>
  <si>
    <t xml:space="preserve">    港口建设费及对应专项债务收入安排的支出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</si>
  <si>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</si>
  <si>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</si>
  <si>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</si>
  <si>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>八、资源勘探信息等支出</t>
  </si>
  <si>
    <t xml:space="preserve">    散装水泥专项资金及对应专项债务收入安排的支出</t>
  </si>
  <si>
    <t xml:space="preserve">    农网还贷资金支出</t>
  </si>
  <si>
    <t>九、商业服务业等支出</t>
  </si>
  <si>
    <t xml:space="preserve">    旅游发展基金支出</t>
  </si>
  <si>
    <t>十、金融支出</t>
  </si>
  <si>
    <t>十一、其他支出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</si>
  <si>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</si>
  <si>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</si>
  <si>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彩票公益金及对应专项债务收入安排的支出</t>
  </si>
  <si>
    <t>十二、债务付息支出</t>
  </si>
  <si>
    <t xml:space="preserve">    地方政府专项债务付息支出</t>
  </si>
  <si>
    <t>十三、债务发行费用支出</t>
  </si>
  <si>
    <t xml:space="preserve">    地方政府专项债务发行费用支出</t>
  </si>
  <si>
    <t>政府性基金预算支出合计</t>
  </si>
  <si>
    <t>转移性支出</t>
  </si>
  <si>
    <t>政府性基金转移支付</t>
    <phoneticPr fontId="2" type="noConversion"/>
  </si>
  <si>
    <t xml:space="preserve">  政府性基金补助支出</t>
    <phoneticPr fontId="2" type="noConversion"/>
  </si>
  <si>
    <t xml:space="preserve">  政府性基金上解支出</t>
    <phoneticPr fontId="2" type="noConversion"/>
  </si>
  <si>
    <t>调出资金</t>
  </si>
  <si>
    <t>债务转贷支出</t>
    <phoneticPr fontId="2" type="noConversion"/>
  </si>
  <si>
    <t>年终结余</t>
  </si>
  <si>
    <t>债务还本支出</t>
    <phoneticPr fontId="2" type="noConversion"/>
  </si>
  <si>
    <t>地方政府专项债务还本支出</t>
    <phoneticPr fontId="2" type="noConversion"/>
  </si>
  <si>
    <t>支出总计</t>
  </si>
  <si>
    <t>附件2</t>
    <phoneticPr fontId="3" type="noConversion"/>
  </si>
  <si>
    <t>单位：万元</t>
    <phoneticPr fontId="3" type="noConversion"/>
  </si>
  <si>
    <t>项       目</t>
    <phoneticPr fontId="3" type="noConversion"/>
  </si>
  <si>
    <t>2017年</t>
    <phoneticPr fontId="3" type="noConversion"/>
  </si>
  <si>
    <t>2018年预算</t>
    <phoneticPr fontId="3" type="noConversion"/>
  </si>
  <si>
    <t>年初预算数</t>
    <phoneticPr fontId="3" type="noConversion"/>
  </si>
  <si>
    <t>年度预算数</t>
    <phoneticPr fontId="3" type="noConversion"/>
  </si>
  <si>
    <t>完成年度预算%</t>
    <phoneticPr fontId="3" type="noConversion"/>
  </si>
  <si>
    <t>2016年决算</t>
    <phoneticPr fontId="3" type="noConversion"/>
  </si>
  <si>
    <t>比上年完成数增减</t>
    <phoneticPr fontId="3" type="noConversion"/>
  </si>
  <si>
    <t>建议数</t>
    <phoneticPr fontId="3" type="noConversion"/>
  </si>
  <si>
    <t>比2017年执行数增减</t>
    <phoneticPr fontId="3" type="noConversion"/>
  </si>
  <si>
    <t>金额</t>
    <phoneticPr fontId="3" type="noConversion"/>
  </si>
  <si>
    <t>%</t>
    <phoneticPr fontId="3" type="noConversion"/>
  </si>
  <si>
    <t>一、农网还贷资金收入</t>
    <phoneticPr fontId="3" type="noConversion"/>
  </si>
  <si>
    <t>二、港口建设费收入</t>
    <phoneticPr fontId="3" type="noConversion"/>
  </si>
  <si>
    <t>三、国家电影事业发展专项资金收入</t>
    <phoneticPr fontId="3" type="noConversion"/>
  </si>
  <si>
    <t>四、新菜地开发建设基金收入</t>
    <phoneticPr fontId="3" type="noConversion"/>
  </si>
  <si>
    <t>五、国有土地收益基金收入</t>
    <phoneticPr fontId="3" type="noConversion"/>
  </si>
  <si>
    <t>六、农业土地开发资金收入</t>
    <phoneticPr fontId="3" type="noConversion"/>
  </si>
  <si>
    <t>七、国有土地使用权出让收入</t>
    <phoneticPr fontId="3" type="noConversion"/>
  </si>
  <si>
    <t xml:space="preserve">    土地出让价款收入</t>
    <phoneticPr fontId="3" type="noConversion"/>
  </si>
  <si>
    <t xml:space="preserve">    补缴的土地价款</t>
    <phoneticPr fontId="3" type="noConversion"/>
  </si>
  <si>
    <t xml:space="preserve">    划拨土地收入</t>
    <phoneticPr fontId="3" type="noConversion"/>
  </si>
  <si>
    <t xml:space="preserve">    缴纳新增建设用地土地有偿使用费</t>
    <phoneticPr fontId="3" type="noConversion"/>
  </si>
  <si>
    <t xml:space="preserve">    其他土地出让收入</t>
    <phoneticPr fontId="3" type="noConversion"/>
  </si>
  <si>
    <t>八、大中型水库库区基金收入</t>
    <phoneticPr fontId="3" type="noConversion"/>
  </si>
  <si>
    <t>九、彩票公益金收入</t>
    <phoneticPr fontId="3" type="noConversion"/>
  </si>
  <si>
    <t xml:space="preserve">    福利彩票公益金收入</t>
    <phoneticPr fontId="3" type="noConversion"/>
  </si>
  <si>
    <t xml:space="preserve">    体育彩票公益金收入</t>
    <phoneticPr fontId="3" type="noConversion"/>
  </si>
  <si>
    <t>十、城市基础设施配套费收入</t>
    <phoneticPr fontId="3" type="noConversion"/>
  </si>
  <si>
    <t>十一、小型水库移民扶助基金收入</t>
    <phoneticPr fontId="3" type="noConversion"/>
  </si>
  <si>
    <t>十二、国家重大水利工程建设基金收入</t>
    <phoneticPr fontId="3" type="noConversion"/>
  </si>
  <si>
    <t>十三、车辆通行费</t>
    <phoneticPr fontId="3" type="noConversion"/>
  </si>
  <si>
    <t>十四、污水处理费收入</t>
    <phoneticPr fontId="3" type="noConversion"/>
  </si>
  <si>
    <t>十五、彩票发行机构和彩票销售机构的业务费用</t>
    <phoneticPr fontId="3" type="noConversion"/>
  </si>
  <si>
    <t xml:space="preserve">      福利彩票销售机构的业务费用</t>
    <phoneticPr fontId="3" type="noConversion"/>
  </si>
  <si>
    <t xml:space="preserve">      体育彩票销售机构的业务费用</t>
    <phoneticPr fontId="3" type="noConversion"/>
  </si>
  <si>
    <t>十六、其他政府性基金收入</t>
    <phoneticPr fontId="3" type="noConversion"/>
  </si>
  <si>
    <t>十七、专项债券对应项目专项收入</t>
    <phoneticPr fontId="2" type="noConversion"/>
  </si>
  <si>
    <t xml:space="preserve">  上级补助收入</t>
    <phoneticPr fontId="3" type="noConversion"/>
  </si>
  <si>
    <r>
      <t xml:space="preserve"> </t>
    </r>
    <r>
      <rPr>
        <sz val="11"/>
        <rFont val="宋体"/>
        <family val="3"/>
        <charset val="134"/>
      </rPr>
      <t xml:space="preserve"> 下级上解收入</t>
    </r>
    <phoneticPr fontId="3" type="noConversion"/>
  </si>
  <si>
    <t xml:space="preserve">  专项债务收入</t>
    <phoneticPr fontId="3" type="noConversion"/>
  </si>
  <si>
    <t xml:space="preserve">    其中：发行新增专项债券收入</t>
    <phoneticPr fontId="3" type="noConversion"/>
  </si>
  <si>
    <t xml:space="preserve">         发行置换专项债券收入</t>
    <phoneticPr fontId="3" type="noConversion"/>
  </si>
  <si>
    <t>2017年</t>
    <phoneticPr fontId="2" type="noConversion"/>
  </si>
  <si>
    <t>2018年预算</t>
    <phoneticPr fontId="2" type="noConversion"/>
  </si>
  <si>
    <t>2016年决算</t>
    <phoneticPr fontId="2" type="noConversion"/>
  </si>
  <si>
    <t>比2017年年初预算增减</t>
    <phoneticPr fontId="2" type="noConversion"/>
  </si>
  <si>
    <t>政府性基金转移支付</t>
    <phoneticPr fontId="2" type="noConversion"/>
  </si>
  <si>
    <t xml:space="preserve">  政府性基金补助支出</t>
    <phoneticPr fontId="2" type="noConversion"/>
  </si>
  <si>
    <t xml:space="preserve">  政府性基金上解支出</t>
    <phoneticPr fontId="2" type="noConversion"/>
  </si>
  <si>
    <t>债务转贷支出</t>
    <phoneticPr fontId="2" type="noConversion"/>
  </si>
  <si>
    <t>债务还本支出</t>
    <phoneticPr fontId="2" type="noConversion"/>
  </si>
  <si>
    <t>地方政府专项债务还本支出</t>
    <phoneticPr fontId="2" type="noConversion"/>
  </si>
  <si>
    <t>附件2</t>
    <phoneticPr fontId="3" type="noConversion"/>
  </si>
  <si>
    <t>玉林市财政局编制</t>
    <phoneticPr fontId="3" type="noConversion"/>
  </si>
  <si>
    <t>玉林市全市与市级
政府性基金预算收支2018年预算（草案）</t>
    <phoneticPr fontId="3" type="noConversion"/>
  </si>
  <si>
    <t>执行数</t>
    <phoneticPr fontId="2" type="noConversion"/>
  </si>
  <si>
    <t>2018年1月</t>
    <phoneticPr fontId="3" type="noConversion"/>
  </si>
  <si>
    <t>2018年玉林市政府性基金预算支出表</t>
    <phoneticPr fontId="2" type="noConversion"/>
  </si>
  <si>
    <t>2018年玉林市政府性基金预算收入表</t>
    <phoneticPr fontId="3" type="noConversion"/>
  </si>
  <si>
    <t>2018年玉林市市级政府性基金预算收入表</t>
    <phoneticPr fontId="3" type="noConversion"/>
  </si>
  <si>
    <t>2018年玉林市市级政府性基金预算支出表</t>
    <phoneticPr fontId="2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</si>
</sst>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#,##0_ "/>
    <numFmt numFmtId="178" formatCode="#,##0.0_ "/>
  </numFmts>
  <fonts count="15">
    <font>
      <sz val="12"/>
      <color theme="1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22"/>
      <name val="方正小标宋简体"/>
      <family val="4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Times New Roman"/>
      <family val="1"/>
    </font>
    <font>
      <sz val="14"/>
      <name val="宋体"/>
      <family val="3"/>
      <charset val="134"/>
    </font>
    <font>
      <sz val="16"/>
      <name val="黑体"/>
      <family val="3"/>
      <charset val="134"/>
    </font>
    <font>
      <b/>
      <sz val="30"/>
      <name val="方正小标宋简体"/>
      <family val="4"/>
      <charset val="134"/>
    </font>
    <font>
      <sz val="12"/>
      <name val="方正小标宋简体"/>
      <family val="4"/>
      <charset val="134"/>
    </font>
    <font>
      <sz val="24"/>
      <name val="方正小标宋简体"/>
      <family val="4"/>
      <charset val="134"/>
    </font>
    <font>
      <sz val="1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8" fillId="0" borderId="0"/>
  </cellStyleXfs>
  <cellXfs count="66">
    <xf numFmtId="0" fontId="0" fillId="0" borderId="0" xfId="0">
      <alignment vertical="center"/>
    </xf>
    <xf numFmtId="0" fontId="1" fillId="0" borderId="0" xfId="3" applyFont="1" applyFill="1" applyAlignment="1">
      <alignment vertical="center"/>
    </xf>
    <xf numFmtId="176" fontId="1" fillId="0" borderId="0" xfId="3" applyNumberFormat="1" applyFill="1" applyAlignment="1">
      <alignment horizontal="center" vertical="center"/>
    </xf>
    <xf numFmtId="176" fontId="1" fillId="0" borderId="0" xfId="3" applyNumberFormat="1" applyFill="1" applyAlignment="1">
      <alignment horizontal="right" vertical="center"/>
    </xf>
    <xf numFmtId="0" fontId="1" fillId="0" borderId="0" xfId="3" applyFill="1" applyAlignment="1">
      <alignment horizontal="center" vertical="center"/>
    </xf>
    <xf numFmtId="0" fontId="1" fillId="0" borderId="0" xfId="3" applyFill="1">
      <alignment vertical="center"/>
    </xf>
    <xf numFmtId="0" fontId="1" fillId="0" borderId="0" xfId="2" applyNumberFormat="1" applyFont="1" applyFill="1"/>
    <xf numFmtId="0" fontId="1" fillId="0" borderId="0" xfId="2" applyNumberFormat="1" applyFont="1" applyFill="1" applyAlignment="1">
      <alignment vertical="center"/>
    </xf>
    <xf numFmtId="0" fontId="5" fillId="0" borderId="0" xfId="2" applyNumberFormat="1" applyFont="1" applyFill="1" applyAlignment="1">
      <alignment horizontal="right" vertical="center"/>
    </xf>
    <xf numFmtId="0" fontId="5" fillId="0" borderId="0" xfId="2" applyNumberFormat="1" applyFont="1" applyFill="1"/>
    <xf numFmtId="0" fontId="6" fillId="0" borderId="1" xfId="2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vertical="center"/>
    </xf>
    <xf numFmtId="177" fontId="6" fillId="0" borderId="1" xfId="5" applyNumberFormat="1" applyFont="1" applyFill="1" applyBorder="1" applyAlignment="1">
      <alignment horizontal="right" vertical="center"/>
    </xf>
    <xf numFmtId="178" fontId="6" fillId="0" borderId="1" xfId="5" applyNumberFormat="1" applyFont="1" applyFill="1" applyBorder="1" applyAlignment="1">
      <alignment horizontal="right" vertical="center"/>
    </xf>
    <xf numFmtId="0" fontId="6" fillId="0" borderId="1" xfId="5" applyNumberFormat="1" applyFont="1" applyFill="1" applyBorder="1" applyAlignment="1">
      <alignment horizontal="right" vertical="center"/>
    </xf>
    <xf numFmtId="0" fontId="7" fillId="0" borderId="0" xfId="2" applyNumberFormat="1" applyFont="1" applyFill="1"/>
    <xf numFmtId="0" fontId="6" fillId="0" borderId="1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vertical="center"/>
    </xf>
    <xf numFmtId="177" fontId="5" fillId="0" borderId="1" xfId="5" applyNumberFormat="1" applyFont="1" applyFill="1" applyBorder="1" applyAlignment="1">
      <alignment horizontal="right" vertical="center"/>
    </xf>
    <xf numFmtId="0" fontId="5" fillId="0" borderId="1" xfId="5" applyNumberFormat="1" applyFont="1" applyFill="1" applyBorder="1" applyAlignment="1">
      <alignment horizontal="right" vertical="center"/>
    </xf>
    <xf numFmtId="0" fontId="6" fillId="0" borderId="1" xfId="2" applyNumberFormat="1" applyFont="1" applyFill="1" applyBorder="1" applyAlignment="1" applyProtection="1">
      <alignment vertical="center"/>
      <protection locked="0"/>
    </xf>
    <xf numFmtId="0" fontId="5" fillId="0" borderId="1" xfId="2" applyNumberFormat="1" applyFont="1" applyFill="1" applyBorder="1" applyAlignment="1" applyProtection="1">
      <alignment vertical="center"/>
      <protection locked="0"/>
    </xf>
    <xf numFmtId="178" fontId="5" fillId="0" borderId="1" xfId="5" applyNumberFormat="1" applyFont="1" applyFill="1" applyBorder="1" applyAlignment="1">
      <alignment horizontal="right" vertical="center"/>
    </xf>
    <xf numFmtId="0" fontId="5" fillId="0" borderId="1" xfId="6" applyNumberFormat="1" applyFont="1" applyFill="1" applyBorder="1" applyAlignment="1">
      <alignment horizontal="right" vertical="center"/>
    </xf>
    <xf numFmtId="0" fontId="1" fillId="0" borderId="0" xfId="2" applyNumberFormat="1" applyFont="1" applyFill="1" applyAlignment="1"/>
    <xf numFmtId="0" fontId="1" fillId="0" borderId="0" xfId="2" applyNumberFormat="1" applyFont="1" applyFill="1" applyBorder="1"/>
    <xf numFmtId="0" fontId="5" fillId="0" borderId="0" xfId="2" applyNumberFormat="1" applyFont="1" applyFill="1" applyAlignment="1"/>
    <xf numFmtId="0" fontId="1" fillId="0" borderId="0" xfId="3" applyFont="1" applyFill="1">
      <alignment vertical="center"/>
    </xf>
    <xf numFmtId="0" fontId="1" fillId="0" borderId="0" xfId="2" applyNumberFormat="1" applyFont="1" applyFill="1" applyAlignment="1">
      <alignment vertical="center" wrapText="1"/>
    </xf>
    <xf numFmtId="0" fontId="5" fillId="0" borderId="0" xfId="2" applyNumberFormat="1" applyFont="1" applyFill="1" applyAlignment="1">
      <alignment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177" fontId="6" fillId="0" borderId="1" xfId="6" applyNumberFormat="1" applyFont="1" applyFill="1" applyBorder="1" applyAlignment="1">
      <alignment horizontal="right" vertical="center"/>
    </xf>
    <xf numFmtId="0" fontId="6" fillId="0" borderId="0" xfId="2" applyNumberFormat="1" applyFont="1" applyFill="1" applyAlignment="1">
      <alignment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177" fontId="5" fillId="0" borderId="1" xfId="6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vertical="center" wrapText="1"/>
      <protection locked="0"/>
    </xf>
    <xf numFmtId="0" fontId="5" fillId="0" borderId="1" xfId="1" applyNumberFormat="1" applyFont="1" applyFill="1" applyBorder="1" applyAlignment="1" applyProtection="1">
      <alignment horizontal="left" vertical="center" indent="1"/>
    </xf>
    <xf numFmtId="177" fontId="1" fillId="0" borderId="0" xfId="2" applyNumberFormat="1" applyFont="1" applyFill="1" applyAlignment="1">
      <alignment vertical="center"/>
    </xf>
    <xf numFmtId="0" fontId="9" fillId="0" borderId="0" xfId="4" applyFont="1">
      <alignment vertical="center"/>
    </xf>
    <xf numFmtId="0" fontId="1" fillId="0" borderId="0" xfId="4">
      <alignment vertical="center"/>
    </xf>
    <xf numFmtId="0" fontId="7" fillId="0" borderId="0" xfId="4" applyFont="1">
      <alignment vertical="center"/>
    </xf>
    <xf numFmtId="0" fontId="10" fillId="0" borderId="0" xfId="4" applyFont="1">
      <alignment vertical="center"/>
    </xf>
    <xf numFmtId="0" fontId="12" fillId="0" borderId="0" xfId="4" applyFont="1">
      <alignment vertical="center"/>
    </xf>
    <xf numFmtId="0" fontId="13" fillId="0" borderId="0" xfId="4" applyFont="1">
      <alignment vertical="center"/>
    </xf>
    <xf numFmtId="0" fontId="14" fillId="0" borderId="0" xfId="4" applyFont="1">
      <alignment vertical="center"/>
    </xf>
    <xf numFmtId="0" fontId="14" fillId="0" borderId="0" xfId="4" applyFont="1" applyAlignment="1">
      <alignment horizontal="center"/>
    </xf>
    <xf numFmtId="0" fontId="11" fillId="0" borderId="0" xfId="4" applyFont="1" applyAlignment="1">
      <alignment horizontal="center" wrapText="1"/>
    </xf>
    <xf numFmtId="0" fontId="11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49" fontId="13" fillId="0" borderId="0" xfId="4" applyNumberFormat="1" applyFont="1" applyAlignment="1">
      <alignment horizontal="center"/>
    </xf>
    <xf numFmtId="0" fontId="14" fillId="0" borderId="0" xfId="4" applyFont="1" applyAlignment="1"/>
    <xf numFmtId="0" fontId="6" fillId="0" borderId="1" xfId="2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0" fontId="6" fillId="0" borderId="4" xfId="2" applyNumberFormat="1" applyFont="1" applyFill="1" applyBorder="1" applyAlignment="1">
      <alignment horizontal="center" vertical="center"/>
    </xf>
    <xf numFmtId="0" fontId="6" fillId="0" borderId="5" xfId="2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0" fontId="6" fillId="0" borderId="1" xfId="5" applyNumberFormat="1" applyFont="1" applyFill="1" applyBorder="1" applyAlignment="1">
      <alignment horizontal="center" vertical="center" wrapText="1"/>
    </xf>
    <xf numFmtId="0" fontId="6" fillId="0" borderId="3" xfId="2" applyNumberFormat="1" applyFont="1" applyFill="1" applyBorder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center" vertical="center" wrapText="1"/>
    </xf>
    <xf numFmtId="0" fontId="6" fillId="0" borderId="6" xfId="2" applyNumberFormat="1" applyFont="1" applyFill="1" applyBorder="1" applyAlignment="1">
      <alignment horizontal="center" vertical="center" wrapText="1"/>
    </xf>
    <xf numFmtId="0" fontId="6" fillId="0" borderId="7" xfId="2" applyNumberFormat="1" applyFont="1" applyFill="1" applyBorder="1" applyAlignment="1">
      <alignment horizontal="center" vertical="center" wrapText="1"/>
    </xf>
  </cellXfs>
  <cellStyles count="7">
    <cellStyle name="常规" xfId="0" builtinId="0"/>
    <cellStyle name="常规 2" xfId="1"/>
    <cellStyle name="常规_2013年政府性基金预算草案0109陈改" xfId="2"/>
    <cellStyle name="常规_2016年草案(国资预算定稿)" xfId="3"/>
    <cellStyle name="常规_附件1：2013年玉林市社会保险基金收入、支出预算表" xfId="4"/>
    <cellStyle name="常规_广西壮族自治区全区与自治区本级2012年预算执行情况和2013年预算（草案）（最终）" xfId="5"/>
    <cellStyle name="样式 1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selection activeCell="E29" sqref="E29"/>
    </sheetView>
  </sheetViews>
  <sheetFormatPr defaultRowHeight="14.25"/>
  <cols>
    <col min="1" max="1" width="6.375" style="43" customWidth="1"/>
    <col min="2" max="2" width="2.875" style="43" customWidth="1"/>
    <col min="3" max="3" width="6.125" style="43" customWidth="1"/>
    <col min="4" max="4" width="9" style="43"/>
    <col min="5" max="5" width="16.125" style="43" bestFit="1" customWidth="1"/>
    <col min="6" max="16384" width="9" style="43"/>
  </cols>
  <sheetData>
    <row r="1" spans="1:14" ht="18.75">
      <c r="A1" s="42" t="s">
        <v>172</v>
      </c>
    </row>
    <row r="2" spans="1:14" ht="20.25">
      <c r="D2" s="44"/>
      <c r="N2" s="45"/>
    </row>
    <row r="5" spans="1:14" ht="41.25" customHeight="1"/>
    <row r="6" spans="1:14" s="46" customFormat="1" ht="103.5" customHeight="1">
      <c r="A6" s="50" t="s">
        <v>174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s="46" customFormat="1" ht="16.5"/>
    <row r="8" spans="1:14" s="46" customFormat="1" ht="16.5"/>
    <row r="9" spans="1:14" s="46" customFormat="1" ht="16.5"/>
    <row r="10" spans="1:14" s="46" customFormat="1" ht="16.5"/>
    <row r="11" spans="1:14" s="46" customFormat="1" ht="16.5"/>
    <row r="12" spans="1:14" s="47" customFormat="1" ht="31.5">
      <c r="A12" s="52" t="s">
        <v>173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4" s="47" customFormat="1" ht="31.5">
      <c r="A13" s="53" t="s">
        <v>176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</row>
    <row r="14" spans="1:14" ht="22.5">
      <c r="D14" s="48"/>
      <c r="E14" s="48"/>
      <c r="F14" s="48"/>
      <c r="G14" s="48"/>
      <c r="H14" s="48"/>
      <c r="I14" s="48"/>
      <c r="J14" s="48"/>
      <c r="K14" s="48"/>
      <c r="L14" s="49"/>
    </row>
    <row r="15" spans="1:14" ht="22.5">
      <c r="D15" s="54"/>
      <c r="E15" s="54"/>
      <c r="F15" s="54"/>
      <c r="G15" s="54"/>
      <c r="H15" s="54"/>
      <c r="I15" s="54"/>
      <c r="J15" s="54"/>
      <c r="K15" s="54"/>
      <c r="L15" s="49"/>
    </row>
  </sheetData>
  <mergeCells count="4">
    <mergeCell ref="A6:N6"/>
    <mergeCell ref="A12:N12"/>
    <mergeCell ref="A13:N13"/>
    <mergeCell ref="D15:K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K162"/>
  <sheetViews>
    <sheetView workbookViewId="0">
      <selection activeCell="O10" sqref="O10"/>
    </sheetView>
  </sheetViews>
  <sheetFormatPr defaultRowHeight="14.25"/>
  <cols>
    <col min="1" max="1" width="42.75" style="25" customWidth="1"/>
    <col min="2" max="3" width="14" style="6" customWidth="1"/>
    <col min="4" max="4" width="13.5" style="6" customWidth="1"/>
    <col min="5" max="5" width="11.125" style="6" customWidth="1"/>
    <col min="6" max="6" width="13.625" style="6" hidden="1" customWidth="1"/>
    <col min="7" max="7" width="13.75" style="6" customWidth="1"/>
    <col min="8" max="8" width="9.375" style="6" customWidth="1"/>
    <col min="9" max="9" width="13.75" style="6" customWidth="1"/>
    <col min="10" max="10" width="13.375" style="6" customWidth="1"/>
    <col min="11" max="11" width="9.5" style="6" customWidth="1"/>
    <col min="12" max="16384" width="9" style="6"/>
  </cols>
  <sheetData>
    <row r="1" spans="1:11" s="5" customFormat="1" ht="24" customHeight="1">
      <c r="A1" s="1" t="s">
        <v>117</v>
      </c>
      <c r="B1" s="2"/>
      <c r="C1" s="3"/>
      <c r="D1" s="4"/>
      <c r="E1" s="4"/>
      <c r="F1" s="4"/>
      <c r="G1" s="4"/>
      <c r="H1" s="2"/>
      <c r="I1" s="4"/>
      <c r="J1" s="4"/>
    </row>
    <row r="2" spans="1:11" ht="30.75" customHeight="1">
      <c r="A2" s="56" t="s">
        <v>178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8" customHeight="1">
      <c r="A3" s="7"/>
      <c r="B3" s="7"/>
      <c r="C3" s="7"/>
      <c r="D3" s="7"/>
      <c r="E3" s="7"/>
      <c r="F3" s="7"/>
      <c r="G3" s="7"/>
      <c r="H3" s="7"/>
      <c r="I3" s="7"/>
      <c r="J3" s="7"/>
      <c r="K3" s="8" t="s">
        <v>118</v>
      </c>
    </row>
    <row r="4" spans="1:11" s="9" customFormat="1" ht="18" customHeight="1">
      <c r="A4" s="57" t="s">
        <v>119</v>
      </c>
      <c r="B4" s="60" t="s">
        <v>120</v>
      </c>
      <c r="C4" s="60"/>
      <c r="D4" s="60"/>
      <c r="E4" s="60"/>
      <c r="F4" s="60"/>
      <c r="G4" s="60"/>
      <c r="H4" s="60"/>
      <c r="I4" s="55" t="s">
        <v>121</v>
      </c>
      <c r="J4" s="55"/>
      <c r="K4" s="55"/>
    </row>
    <row r="5" spans="1:11" s="9" customFormat="1" ht="18" customHeight="1">
      <c r="A5" s="58"/>
      <c r="B5" s="61" t="s">
        <v>122</v>
      </c>
      <c r="C5" s="62" t="s">
        <v>123</v>
      </c>
      <c r="D5" s="60" t="s">
        <v>175</v>
      </c>
      <c r="E5" s="62" t="s">
        <v>124</v>
      </c>
      <c r="F5" s="62" t="s">
        <v>125</v>
      </c>
      <c r="G5" s="64" t="s">
        <v>126</v>
      </c>
      <c r="H5" s="65"/>
      <c r="I5" s="55" t="s">
        <v>127</v>
      </c>
      <c r="J5" s="55" t="s">
        <v>128</v>
      </c>
      <c r="K5" s="55"/>
    </row>
    <row r="6" spans="1:11" s="9" customFormat="1" ht="18" customHeight="1">
      <c r="A6" s="59"/>
      <c r="B6" s="61"/>
      <c r="C6" s="63"/>
      <c r="D6" s="60"/>
      <c r="E6" s="63"/>
      <c r="F6" s="63"/>
      <c r="G6" s="10" t="s">
        <v>129</v>
      </c>
      <c r="H6" s="10" t="s">
        <v>130</v>
      </c>
      <c r="I6" s="55"/>
      <c r="J6" s="11" t="s">
        <v>129</v>
      </c>
      <c r="K6" s="11" t="s">
        <v>130</v>
      </c>
    </row>
    <row r="7" spans="1:11" s="16" customFormat="1" ht="19.5" customHeight="1">
      <c r="A7" s="12" t="s">
        <v>131</v>
      </c>
      <c r="B7" s="13"/>
      <c r="C7" s="13"/>
      <c r="D7" s="13"/>
      <c r="E7" s="14"/>
      <c r="F7" s="15"/>
      <c r="G7" s="13"/>
      <c r="H7" s="14"/>
      <c r="I7" s="13"/>
      <c r="J7" s="13"/>
      <c r="K7" s="14"/>
    </row>
    <row r="8" spans="1:11" s="16" customFormat="1" ht="19.5" customHeight="1">
      <c r="A8" s="12" t="s">
        <v>132</v>
      </c>
      <c r="B8" s="13"/>
      <c r="C8" s="13"/>
      <c r="D8" s="13"/>
      <c r="E8" s="14"/>
      <c r="F8" s="15"/>
      <c r="G8" s="13"/>
      <c r="H8" s="14"/>
      <c r="I8" s="13"/>
      <c r="J8" s="13"/>
      <c r="K8" s="14"/>
    </row>
    <row r="9" spans="1:11" s="16" customFormat="1" ht="19.5" customHeight="1">
      <c r="A9" s="17" t="s">
        <v>133</v>
      </c>
      <c r="B9" s="13"/>
      <c r="C9" s="13"/>
      <c r="D9" s="13"/>
      <c r="E9" s="14"/>
      <c r="F9" s="13"/>
      <c r="G9" s="13"/>
      <c r="H9" s="14"/>
      <c r="I9" s="13"/>
      <c r="J9" s="13"/>
      <c r="K9" s="14"/>
    </row>
    <row r="10" spans="1:11" s="16" customFormat="1" ht="19.5" customHeight="1">
      <c r="A10" s="17" t="s">
        <v>134</v>
      </c>
      <c r="B10" s="13"/>
      <c r="C10" s="13"/>
      <c r="D10" s="13"/>
      <c r="E10" s="14"/>
      <c r="F10" s="13"/>
      <c r="G10" s="13"/>
      <c r="H10" s="14"/>
      <c r="I10" s="13"/>
      <c r="J10" s="13"/>
      <c r="K10" s="14"/>
    </row>
    <row r="11" spans="1:11" s="16" customFormat="1" ht="19.5" customHeight="1">
      <c r="A11" s="17" t="s">
        <v>135</v>
      </c>
      <c r="B11" s="13">
        <v>17355</v>
      </c>
      <c r="C11" s="13">
        <v>14710</v>
      </c>
      <c r="D11" s="13">
        <v>8014</v>
      </c>
      <c r="E11" s="14">
        <f t="shared" ref="E11:E33" si="0">D11/C11*100</f>
        <v>54.479945615227734</v>
      </c>
      <c r="F11" s="13">
        <v>11080</v>
      </c>
      <c r="G11" s="13">
        <f t="shared" ref="G11:G33" si="1">D11-F11</f>
        <v>-3066</v>
      </c>
      <c r="H11" s="14">
        <f t="shared" ref="H11:H33" si="2">G11/F11*100</f>
        <v>-27.671480144404331</v>
      </c>
      <c r="I11" s="13">
        <v>14491</v>
      </c>
      <c r="J11" s="13">
        <f t="shared" ref="J11:J33" si="3">I11-D11</f>
        <v>6477</v>
      </c>
      <c r="K11" s="14">
        <f t="shared" ref="K11:K33" si="4">J11/D11*100</f>
        <v>80.821063139505867</v>
      </c>
    </row>
    <row r="12" spans="1:11" s="16" customFormat="1" ht="19.5" customHeight="1">
      <c r="A12" s="17" t="s">
        <v>136</v>
      </c>
      <c r="B12" s="13">
        <v>2349</v>
      </c>
      <c r="C12" s="13">
        <v>2140</v>
      </c>
      <c r="D12" s="13">
        <v>1006</v>
      </c>
      <c r="E12" s="14">
        <f t="shared" si="0"/>
        <v>47.009345794392523</v>
      </c>
      <c r="F12" s="13">
        <v>1319</v>
      </c>
      <c r="G12" s="13">
        <f t="shared" si="1"/>
        <v>-313</v>
      </c>
      <c r="H12" s="14">
        <f t="shared" si="2"/>
        <v>-23.730098559514783</v>
      </c>
      <c r="I12" s="13">
        <v>2212</v>
      </c>
      <c r="J12" s="13">
        <f t="shared" si="3"/>
        <v>1206</v>
      </c>
      <c r="K12" s="14">
        <f t="shared" si="4"/>
        <v>119.88071570576541</v>
      </c>
    </row>
    <row r="13" spans="1:11" s="16" customFormat="1" ht="19.5" customHeight="1">
      <c r="A13" s="17" t="s">
        <v>137</v>
      </c>
      <c r="B13" s="13">
        <f>B14+B15+B16+B17+B18</f>
        <v>684581</v>
      </c>
      <c r="C13" s="13">
        <f>C14+C15+C16+C17+C18</f>
        <v>598649</v>
      </c>
      <c r="D13" s="13">
        <f>D14+D15+D16+D17+D18</f>
        <v>561255</v>
      </c>
      <c r="E13" s="14">
        <f t="shared" si="0"/>
        <v>93.753601860188525</v>
      </c>
      <c r="F13" s="13">
        <f>F14+F15+F16+F17+F18</f>
        <v>515414</v>
      </c>
      <c r="G13" s="13">
        <f t="shared" si="1"/>
        <v>45841</v>
      </c>
      <c r="H13" s="14">
        <f t="shared" si="2"/>
        <v>8.8940152964413066</v>
      </c>
      <c r="I13" s="13">
        <f>I14+I15+I16+I17+I18</f>
        <v>638670</v>
      </c>
      <c r="J13" s="13">
        <f t="shared" si="3"/>
        <v>77415</v>
      </c>
      <c r="K13" s="14">
        <f t="shared" si="4"/>
        <v>13.793195606275221</v>
      </c>
    </row>
    <row r="14" spans="1:11" ht="19.5" customHeight="1">
      <c r="A14" s="18" t="s">
        <v>138</v>
      </c>
      <c r="B14" s="19">
        <f>519810+60000-480</f>
        <v>579330</v>
      </c>
      <c r="C14" s="19">
        <f>506786-6100+5680</f>
        <v>506366</v>
      </c>
      <c r="D14" s="19">
        <f>509378</f>
        <v>509378</v>
      </c>
      <c r="E14" s="14">
        <f t="shared" si="0"/>
        <v>100.59482666687731</v>
      </c>
      <c r="F14" s="19">
        <f>463157-26574</f>
        <v>436583</v>
      </c>
      <c r="G14" s="13">
        <f t="shared" si="1"/>
        <v>72795</v>
      </c>
      <c r="H14" s="14">
        <f t="shared" si="2"/>
        <v>16.673805439057407</v>
      </c>
      <c r="I14" s="19">
        <f>548830-10800</f>
        <v>538030</v>
      </c>
      <c r="J14" s="13">
        <f t="shared" si="3"/>
        <v>28652</v>
      </c>
      <c r="K14" s="14">
        <f t="shared" si="4"/>
        <v>5.6248993870956348</v>
      </c>
    </row>
    <row r="15" spans="1:11" ht="19.5" customHeight="1">
      <c r="A15" s="18" t="s">
        <v>139</v>
      </c>
      <c r="B15" s="19">
        <v>52400</v>
      </c>
      <c r="C15" s="19">
        <f>92090-4680-13032</f>
        <v>74378</v>
      </c>
      <c r="D15" s="19">
        <v>65543</v>
      </c>
      <c r="E15" s="14">
        <f t="shared" si="0"/>
        <v>88.121487536637176</v>
      </c>
      <c r="F15" s="20">
        <f>57099</f>
        <v>57099</v>
      </c>
      <c r="G15" s="13">
        <f t="shared" si="1"/>
        <v>8444</v>
      </c>
      <c r="H15" s="14">
        <f t="shared" si="2"/>
        <v>14.78835005867003</v>
      </c>
      <c r="I15" s="19">
        <v>81703</v>
      </c>
      <c r="J15" s="13">
        <f t="shared" si="3"/>
        <v>16160</v>
      </c>
      <c r="K15" s="14">
        <f t="shared" si="4"/>
        <v>24.655569626047022</v>
      </c>
    </row>
    <row r="16" spans="1:11" ht="19.5" customHeight="1">
      <c r="A16" s="18" t="s">
        <v>140</v>
      </c>
      <c r="B16" s="19">
        <v>38400</v>
      </c>
      <c r="C16" s="19">
        <v>6220</v>
      </c>
      <c r="D16" s="19">
        <v>4614</v>
      </c>
      <c r="E16" s="14">
        <f t="shared" si="0"/>
        <v>74.180064308681665</v>
      </c>
      <c r="F16" s="20">
        <v>12567</v>
      </c>
      <c r="G16" s="13">
        <f t="shared" si="1"/>
        <v>-7953</v>
      </c>
      <c r="H16" s="14">
        <f t="shared" si="2"/>
        <v>-63.284793506803538</v>
      </c>
      <c r="I16" s="19">
        <v>2800</v>
      </c>
      <c r="J16" s="13">
        <f t="shared" si="3"/>
        <v>-1814</v>
      </c>
      <c r="K16" s="14">
        <f t="shared" si="4"/>
        <v>-39.315127871694841</v>
      </c>
    </row>
    <row r="17" spans="1:11" ht="19.5" customHeight="1">
      <c r="A17" s="18" t="s">
        <v>141</v>
      </c>
      <c r="B17" s="19">
        <v>5680</v>
      </c>
      <c r="C17" s="19">
        <v>0</v>
      </c>
      <c r="D17" s="19">
        <v>-22126</v>
      </c>
      <c r="E17" s="14"/>
      <c r="F17" s="20"/>
      <c r="G17" s="13">
        <f t="shared" si="1"/>
        <v>-22126</v>
      </c>
      <c r="H17" s="14"/>
      <c r="I17" s="19">
        <v>5880</v>
      </c>
      <c r="J17" s="13">
        <f t="shared" si="3"/>
        <v>28006</v>
      </c>
      <c r="K17" s="14">
        <f t="shared" si="4"/>
        <v>-126.57507005333093</v>
      </c>
    </row>
    <row r="18" spans="1:11" ht="19.5" customHeight="1">
      <c r="A18" s="18" t="s">
        <v>142</v>
      </c>
      <c r="B18" s="19">
        <v>8771</v>
      </c>
      <c r="C18" s="19">
        <v>11685</v>
      </c>
      <c r="D18" s="19">
        <v>3846</v>
      </c>
      <c r="E18" s="14">
        <f t="shared" si="0"/>
        <v>32.913992297817714</v>
      </c>
      <c r="F18" s="20">
        <v>9165</v>
      </c>
      <c r="G18" s="13">
        <f t="shared" si="1"/>
        <v>-5319</v>
      </c>
      <c r="H18" s="14">
        <f t="shared" si="2"/>
        <v>-58.036006546644849</v>
      </c>
      <c r="I18" s="19">
        <v>10257</v>
      </c>
      <c r="J18" s="13">
        <f t="shared" si="3"/>
        <v>6411</v>
      </c>
      <c r="K18" s="14">
        <f t="shared" si="4"/>
        <v>166.69266770670828</v>
      </c>
    </row>
    <row r="19" spans="1:11" s="16" customFormat="1" ht="19.5" customHeight="1">
      <c r="A19" s="17" t="s">
        <v>143</v>
      </c>
      <c r="B19" s="13"/>
      <c r="C19" s="13"/>
      <c r="D19" s="13"/>
      <c r="E19" s="14"/>
      <c r="F19" s="15"/>
      <c r="G19" s="13"/>
      <c r="H19" s="14"/>
      <c r="I19" s="13"/>
      <c r="J19" s="13"/>
      <c r="K19" s="14"/>
    </row>
    <row r="20" spans="1:11" s="16" customFormat="1" ht="19.5" customHeight="1">
      <c r="A20" s="17" t="s">
        <v>144</v>
      </c>
      <c r="B20" s="13"/>
      <c r="C20" s="13"/>
      <c r="D20" s="13"/>
      <c r="E20" s="14"/>
      <c r="F20" s="13"/>
      <c r="G20" s="13"/>
      <c r="H20" s="14"/>
      <c r="I20" s="13"/>
      <c r="J20" s="13"/>
      <c r="K20" s="14"/>
    </row>
    <row r="21" spans="1:11" ht="19.5" hidden="1" customHeight="1">
      <c r="A21" s="18" t="s">
        <v>145</v>
      </c>
      <c r="B21" s="19"/>
      <c r="C21" s="19"/>
      <c r="D21" s="19"/>
      <c r="E21" s="14"/>
      <c r="F21" s="20"/>
      <c r="G21" s="13"/>
      <c r="H21" s="14"/>
      <c r="I21" s="19"/>
      <c r="J21" s="13"/>
      <c r="K21" s="14"/>
    </row>
    <row r="22" spans="1:11" ht="19.5" hidden="1" customHeight="1">
      <c r="A22" s="18" t="s">
        <v>146</v>
      </c>
      <c r="B22" s="19"/>
      <c r="C22" s="19"/>
      <c r="D22" s="19"/>
      <c r="E22" s="14"/>
      <c r="F22" s="20"/>
      <c r="G22" s="13"/>
      <c r="H22" s="14"/>
      <c r="I22" s="19"/>
      <c r="J22" s="13"/>
      <c r="K22" s="14"/>
    </row>
    <row r="23" spans="1:11" s="16" customFormat="1" ht="19.5" customHeight="1">
      <c r="A23" s="17" t="s">
        <v>147</v>
      </c>
      <c r="B23" s="13">
        <v>8650</v>
      </c>
      <c r="C23" s="13">
        <v>12664</v>
      </c>
      <c r="D23" s="13">
        <v>15462</v>
      </c>
      <c r="E23" s="14">
        <f t="shared" si="0"/>
        <v>122.094125078964</v>
      </c>
      <c r="F23" s="13">
        <v>9624</v>
      </c>
      <c r="G23" s="13">
        <f t="shared" si="1"/>
        <v>5838</v>
      </c>
      <c r="H23" s="14">
        <f t="shared" si="2"/>
        <v>60.660847880299251</v>
      </c>
      <c r="I23" s="13">
        <v>7800</v>
      </c>
      <c r="J23" s="13">
        <f t="shared" si="3"/>
        <v>-7662</v>
      </c>
      <c r="K23" s="14">
        <f t="shared" si="4"/>
        <v>-49.553744664338382</v>
      </c>
    </row>
    <row r="24" spans="1:11" s="16" customFormat="1" ht="19.5" customHeight="1">
      <c r="A24" s="17" t="s">
        <v>148</v>
      </c>
      <c r="B24" s="13"/>
      <c r="C24" s="13"/>
      <c r="D24" s="13"/>
      <c r="E24" s="14"/>
      <c r="F24" s="13"/>
      <c r="G24" s="13"/>
      <c r="H24" s="14"/>
      <c r="I24" s="13"/>
      <c r="J24" s="13"/>
      <c r="K24" s="14"/>
    </row>
    <row r="25" spans="1:11" s="16" customFormat="1" ht="19.5" customHeight="1">
      <c r="A25" s="17" t="s">
        <v>149</v>
      </c>
      <c r="B25" s="13"/>
      <c r="C25" s="13"/>
      <c r="D25" s="13"/>
      <c r="E25" s="14"/>
      <c r="F25" s="13"/>
      <c r="G25" s="13"/>
      <c r="H25" s="14"/>
      <c r="I25" s="13"/>
      <c r="J25" s="13"/>
      <c r="K25" s="14"/>
    </row>
    <row r="26" spans="1:11" s="16" customFormat="1" ht="19.5" customHeight="1">
      <c r="A26" s="17" t="s">
        <v>150</v>
      </c>
      <c r="B26" s="13"/>
      <c r="C26" s="13"/>
      <c r="D26" s="13"/>
      <c r="E26" s="14"/>
      <c r="F26" s="13"/>
      <c r="G26" s="13"/>
      <c r="H26" s="14"/>
      <c r="I26" s="13"/>
      <c r="J26" s="13"/>
      <c r="K26" s="14"/>
    </row>
    <row r="27" spans="1:11" s="16" customFormat="1" ht="19.5" customHeight="1">
      <c r="A27" s="17" t="s">
        <v>151</v>
      </c>
      <c r="B27" s="13">
        <v>5980</v>
      </c>
      <c r="C27" s="13">
        <v>7894</v>
      </c>
      <c r="D27" s="13">
        <v>6536</v>
      </c>
      <c r="E27" s="14">
        <f t="shared" si="0"/>
        <v>82.797061059032174</v>
      </c>
      <c r="F27" s="13"/>
      <c r="G27" s="13">
        <f t="shared" si="1"/>
        <v>6536</v>
      </c>
      <c r="H27" s="14" t="e">
        <f t="shared" si="2"/>
        <v>#DIV/0!</v>
      </c>
      <c r="I27" s="13">
        <v>9620</v>
      </c>
      <c r="J27" s="13">
        <f t="shared" si="3"/>
        <v>3084</v>
      </c>
      <c r="K27" s="14">
        <f t="shared" si="4"/>
        <v>47.184822521419825</v>
      </c>
    </row>
    <row r="28" spans="1:11" s="16" customFormat="1" ht="19.5" customHeight="1">
      <c r="A28" s="17" t="s">
        <v>152</v>
      </c>
      <c r="B28" s="13"/>
      <c r="C28" s="13"/>
      <c r="D28" s="13"/>
      <c r="E28" s="14"/>
      <c r="F28" s="13"/>
      <c r="G28" s="13"/>
      <c r="H28" s="14"/>
      <c r="I28" s="13"/>
      <c r="J28" s="13"/>
      <c r="K28" s="14"/>
    </row>
    <row r="29" spans="1:11" ht="19.5" hidden="1" customHeight="1">
      <c r="A29" s="18" t="s">
        <v>153</v>
      </c>
      <c r="B29" s="19"/>
      <c r="C29" s="19"/>
      <c r="D29" s="19"/>
      <c r="E29" s="14"/>
      <c r="F29" s="20"/>
      <c r="G29" s="13"/>
      <c r="H29" s="14"/>
      <c r="I29" s="19"/>
      <c r="J29" s="13"/>
      <c r="K29" s="14"/>
    </row>
    <row r="30" spans="1:11" ht="19.5" hidden="1" customHeight="1">
      <c r="A30" s="18" t="s">
        <v>154</v>
      </c>
      <c r="B30" s="19"/>
      <c r="C30" s="19"/>
      <c r="D30" s="19"/>
      <c r="E30" s="14"/>
      <c r="F30" s="20"/>
      <c r="G30" s="13"/>
      <c r="H30" s="14"/>
      <c r="I30" s="19"/>
      <c r="J30" s="13"/>
      <c r="K30" s="14"/>
    </row>
    <row r="31" spans="1:11" s="16" customFormat="1" ht="19.5" customHeight="1">
      <c r="A31" s="17" t="s">
        <v>155</v>
      </c>
      <c r="B31" s="13">
        <f>597+2170+670</f>
        <v>3437</v>
      </c>
      <c r="C31" s="13">
        <v>3106</v>
      </c>
      <c r="D31" s="13">
        <f>205+935+771</f>
        <v>1911</v>
      </c>
      <c r="E31" s="14">
        <f t="shared" si="0"/>
        <v>61.526078557630392</v>
      </c>
      <c r="F31" s="13">
        <f>8580+2100</f>
        <v>10680</v>
      </c>
      <c r="G31" s="13">
        <f t="shared" si="1"/>
        <v>-8769</v>
      </c>
      <c r="H31" s="14">
        <f t="shared" si="2"/>
        <v>-82.106741573033702</v>
      </c>
      <c r="I31" s="13">
        <v>900</v>
      </c>
      <c r="J31" s="13">
        <f t="shared" si="3"/>
        <v>-1011</v>
      </c>
      <c r="K31" s="14">
        <f t="shared" si="4"/>
        <v>-52.904238618524332</v>
      </c>
    </row>
    <row r="32" spans="1:11" s="16" customFormat="1" ht="19.5" customHeight="1">
      <c r="A32" s="17" t="s">
        <v>156</v>
      </c>
      <c r="B32" s="13"/>
      <c r="C32" s="13"/>
      <c r="D32" s="13"/>
      <c r="E32" s="14"/>
      <c r="F32" s="13"/>
      <c r="G32" s="13"/>
      <c r="H32" s="14"/>
      <c r="I32" s="13"/>
      <c r="J32" s="13"/>
      <c r="K32" s="14"/>
    </row>
    <row r="33" spans="1:11" s="16" customFormat="1" ht="19.5" customHeight="1">
      <c r="A33" s="21" t="s">
        <v>40</v>
      </c>
      <c r="B33" s="13">
        <f>B7+B8+B9+B10+B11+B12+B13+B19+B20+B23+B24+B25+B26+B27+B28+B31+B32</f>
        <v>722352</v>
      </c>
      <c r="C33" s="13">
        <f t="shared" ref="C33:I33" si="5">C7+C8+C9+C10+C11+C12+C13+C19+C20+C23+C24+C25+C26+C27+C28+C31+C32</f>
        <v>639163</v>
      </c>
      <c r="D33" s="13">
        <f t="shared" si="5"/>
        <v>594184</v>
      </c>
      <c r="E33" s="14">
        <f t="shared" si="0"/>
        <v>92.962827948426295</v>
      </c>
      <c r="F33" s="13">
        <f t="shared" si="5"/>
        <v>548117</v>
      </c>
      <c r="G33" s="13">
        <f t="shared" si="1"/>
        <v>46067</v>
      </c>
      <c r="H33" s="14">
        <f t="shared" si="2"/>
        <v>8.4045924501520659</v>
      </c>
      <c r="I33" s="13">
        <f t="shared" si="5"/>
        <v>673693</v>
      </c>
      <c r="J33" s="13">
        <f t="shared" si="3"/>
        <v>79509</v>
      </c>
      <c r="K33" s="14">
        <f t="shared" si="4"/>
        <v>13.381208514534219</v>
      </c>
    </row>
    <row r="34" spans="1:11" s="16" customFormat="1" ht="19.5" customHeight="1">
      <c r="A34" s="21" t="s">
        <v>41</v>
      </c>
      <c r="B34" s="13">
        <f>SUM(B35:B39)</f>
        <v>209662.2</v>
      </c>
      <c r="C34" s="13">
        <f>SUM(C35:C39)</f>
        <v>295817</v>
      </c>
      <c r="D34" s="13">
        <f>SUM(D35:D39)</f>
        <v>295817</v>
      </c>
      <c r="E34" s="14"/>
      <c r="F34" s="13"/>
      <c r="G34" s="13"/>
      <c r="H34" s="14"/>
      <c r="I34" s="13">
        <f>I35+I36+I37+I38+I39</f>
        <v>203933</v>
      </c>
      <c r="J34" s="13"/>
      <c r="K34" s="14"/>
    </row>
    <row r="35" spans="1:11" ht="19.5" customHeight="1">
      <c r="A35" s="22" t="s">
        <v>157</v>
      </c>
      <c r="B35" s="19">
        <f>33583-0.4</f>
        <v>33582.6</v>
      </c>
      <c r="C35" s="19">
        <f>46757+586</f>
        <v>47343</v>
      </c>
      <c r="D35" s="19">
        <f>46757+586</f>
        <v>47343</v>
      </c>
      <c r="E35" s="23"/>
      <c r="F35" s="24"/>
      <c r="G35" s="13"/>
      <c r="H35" s="23"/>
      <c r="I35" s="19">
        <f>30180+350</f>
        <v>30530</v>
      </c>
      <c r="J35" s="13"/>
      <c r="K35" s="23"/>
    </row>
    <row r="36" spans="1:11" ht="19.5" customHeight="1">
      <c r="A36" s="22" t="s">
        <v>158</v>
      </c>
      <c r="B36" s="19"/>
      <c r="C36" s="19"/>
      <c r="D36" s="19"/>
      <c r="E36" s="23"/>
      <c r="F36" s="24"/>
      <c r="G36" s="13"/>
      <c r="H36" s="23"/>
      <c r="I36" s="19"/>
      <c r="J36" s="13"/>
      <c r="K36" s="23"/>
    </row>
    <row r="37" spans="1:11" ht="19.5" customHeight="1">
      <c r="A37" s="22" t="s">
        <v>44</v>
      </c>
      <c r="B37" s="19">
        <f>106893-0.4</f>
        <v>106892.6</v>
      </c>
      <c r="C37" s="19">
        <v>134403</v>
      </c>
      <c r="D37" s="19">
        <v>134403</v>
      </c>
      <c r="E37" s="23"/>
      <c r="F37" s="24"/>
      <c r="G37" s="13"/>
      <c r="H37" s="23"/>
      <c r="I37" s="19">
        <v>126473</v>
      </c>
      <c r="J37" s="13"/>
      <c r="K37" s="23"/>
    </row>
    <row r="38" spans="1:11" ht="19.5" customHeight="1">
      <c r="A38" s="22" t="s">
        <v>45</v>
      </c>
      <c r="B38" s="19"/>
      <c r="C38" s="19"/>
      <c r="D38" s="19"/>
      <c r="E38" s="23"/>
      <c r="F38" s="24"/>
      <c r="G38" s="13"/>
      <c r="H38" s="23"/>
      <c r="I38" s="19">
        <v>0</v>
      </c>
      <c r="J38" s="13"/>
      <c r="K38" s="23"/>
    </row>
    <row r="39" spans="1:11" ht="19.5" customHeight="1">
      <c r="A39" s="22" t="s">
        <v>159</v>
      </c>
      <c r="B39" s="19">
        <f>B40+B41</f>
        <v>69187</v>
      </c>
      <c r="C39" s="19">
        <f>C40+C41</f>
        <v>114071</v>
      </c>
      <c r="D39" s="19">
        <f>D40+D41</f>
        <v>114071</v>
      </c>
      <c r="E39" s="19"/>
      <c r="F39" s="19"/>
      <c r="G39" s="19"/>
      <c r="H39" s="19"/>
      <c r="I39" s="19">
        <f>I40+I41</f>
        <v>46930</v>
      </c>
      <c r="J39" s="13"/>
      <c r="K39" s="23"/>
    </row>
    <row r="40" spans="1:11" ht="19.5" customHeight="1">
      <c r="A40" s="22" t="s">
        <v>160</v>
      </c>
      <c r="B40" s="19"/>
      <c r="C40" s="19">
        <v>25000</v>
      </c>
      <c r="D40" s="19">
        <v>25000</v>
      </c>
      <c r="E40" s="23"/>
      <c r="F40" s="24"/>
      <c r="G40" s="13"/>
      <c r="H40" s="23"/>
      <c r="I40" s="19"/>
      <c r="J40" s="13"/>
      <c r="K40" s="23"/>
    </row>
    <row r="41" spans="1:11" ht="19.5" customHeight="1">
      <c r="A41" s="22" t="s">
        <v>161</v>
      </c>
      <c r="B41" s="19">
        <v>69187</v>
      </c>
      <c r="C41" s="19">
        <v>89071</v>
      </c>
      <c r="D41" s="19">
        <v>89071</v>
      </c>
      <c r="E41" s="23"/>
      <c r="F41" s="24"/>
      <c r="G41" s="13"/>
      <c r="H41" s="23"/>
      <c r="I41" s="19">
        <v>46930</v>
      </c>
      <c r="J41" s="13"/>
      <c r="K41" s="23"/>
    </row>
    <row r="42" spans="1:11" s="16" customFormat="1" ht="19.5" customHeight="1">
      <c r="A42" s="21" t="s">
        <v>49</v>
      </c>
      <c r="B42" s="13">
        <f>B33+B34</f>
        <v>932014.2</v>
      </c>
      <c r="C42" s="13">
        <f>C33+C34</f>
        <v>934980</v>
      </c>
      <c r="D42" s="13">
        <f>D33+D34</f>
        <v>890001</v>
      </c>
      <c r="E42" s="14"/>
      <c r="F42" s="15"/>
      <c r="G42" s="13"/>
      <c r="H42" s="14"/>
      <c r="I42" s="13">
        <f>I33+I34</f>
        <v>877626</v>
      </c>
      <c r="J42" s="13"/>
      <c r="K42" s="14"/>
    </row>
    <row r="43" spans="1:11">
      <c r="D43" s="26"/>
    </row>
    <row r="44" spans="1:11">
      <c r="D44" s="26"/>
    </row>
    <row r="45" spans="1:11">
      <c r="D45" s="26"/>
    </row>
    <row r="46" spans="1:11">
      <c r="A46" s="6"/>
      <c r="D46" s="26"/>
    </row>
    <row r="47" spans="1:11">
      <c r="A47" s="6"/>
      <c r="D47" s="26"/>
    </row>
    <row r="48" spans="1:11">
      <c r="A48" s="6"/>
      <c r="D48" s="26"/>
    </row>
    <row r="49" spans="1:4">
      <c r="A49" s="6"/>
      <c r="D49" s="26"/>
    </row>
    <row r="50" spans="1:4">
      <c r="A50" s="6"/>
      <c r="D50" s="26"/>
    </row>
    <row r="162" spans="1:1">
      <c r="A162" s="27"/>
    </row>
  </sheetData>
  <mergeCells count="12">
    <mergeCell ref="J5:K5"/>
    <mergeCell ref="A2:K2"/>
    <mergeCell ref="A4:A6"/>
    <mergeCell ref="B4:H4"/>
    <mergeCell ref="I4:K4"/>
    <mergeCell ref="B5:B6"/>
    <mergeCell ref="C5:C6"/>
    <mergeCell ref="D5:D6"/>
    <mergeCell ref="E5:E6"/>
    <mergeCell ref="F5:F6"/>
    <mergeCell ref="G5:H5"/>
    <mergeCell ref="I5:I6"/>
  </mergeCells>
  <phoneticPr fontId="2" type="noConversion"/>
  <printOptions horizontalCentered="1"/>
  <pageMargins left="0.17" right="0.19" top="0.61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K61"/>
  <sheetViews>
    <sheetView workbookViewId="0">
      <selection activeCell="A2" sqref="A2:K2"/>
    </sheetView>
  </sheetViews>
  <sheetFormatPr defaultRowHeight="14.25"/>
  <cols>
    <col min="1" max="1" width="54" style="29" customWidth="1"/>
    <col min="2" max="2" width="11.875" style="7" customWidth="1"/>
    <col min="3" max="3" width="12.125" style="7" customWidth="1"/>
    <col min="4" max="4" width="13.5" style="7" customWidth="1"/>
    <col min="5" max="5" width="9.875" style="7" customWidth="1"/>
    <col min="6" max="6" width="14.25" style="7" hidden="1" customWidth="1"/>
    <col min="7" max="7" width="11.625" style="7" customWidth="1"/>
    <col min="8" max="8" width="10.625" style="7" customWidth="1"/>
    <col min="9" max="9" width="12.25" style="7" customWidth="1"/>
    <col min="10" max="10" width="11.375" style="7" customWidth="1"/>
    <col min="11" max="11" width="11.875" style="7" customWidth="1"/>
    <col min="12" max="16384" width="9" style="7"/>
  </cols>
  <sheetData>
    <row r="1" spans="1:11" s="5" customFormat="1" ht="26.25" customHeight="1">
      <c r="A1" s="28" t="s">
        <v>50</v>
      </c>
      <c r="B1" s="2"/>
      <c r="C1" s="3"/>
      <c r="D1" s="4"/>
      <c r="E1" s="4"/>
      <c r="F1" s="4"/>
      <c r="G1" s="4"/>
      <c r="H1" s="2"/>
      <c r="I1" s="4"/>
      <c r="J1" s="4"/>
    </row>
    <row r="2" spans="1:11" ht="35.25" customHeight="1">
      <c r="A2" s="56" t="s">
        <v>177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8" customHeight="1">
      <c r="K3" s="8" t="s">
        <v>51</v>
      </c>
    </row>
    <row r="4" spans="1:11" s="30" customFormat="1" ht="18" customHeight="1">
      <c r="A4" s="55" t="s">
        <v>52</v>
      </c>
      <c r="B4" s="60" t="s">
        <v>162</v>
      </c>
      <c r="C4" s="60"/>
      <c r="D4" s="60"/>
      <c r="E4" s="60"/>
      <c r="F4" s="60"/>
      <c r="G4" s="60"/>
      <c r="H4" s="60"/>
      <c r="I4" s="60" t="s">
        <v>163</v>
      </c>
      <c r="J4" s="60"/>
      <c r="K4" s="60"/>
    </row>
    <row r="5" spans="1:11" s="30" customFormat="1" ht="18" customHeight="1">
      <c r="A5" s="55"/>
      <c r="B5" s="61" t="s">
        <v>55</v>
      </c>
      <c r="C5" s="55" t="s">
        <v>56</v>
      </c>
      <c r="D5" s="60" t="s">
        <v>175</v>
      </c>
      <c r="E5" s="55" t="s">
        <v>57</v>
      </c>
      <c r="F5" s="62" t="s">
        <v>164</v>
      </c>
      <c r="G5" s="60" t="s">
        <v>59</v>
      </c>
      <c r="H5" s="60"/>
      <c r="I5" s="60" t="s">
        <v>60</v>
      </c>
      <c r="J5" s="55" t="s">
        <v>165</v>
      </c>
      <c r="K5" s="55"/>
    </row>
    <row r="6" spans="1:11" s="30" customFormat="1" ht="18" customHeight="1">
      <c r="A6" s="55"/>
      <c r="B6" s="61"/>
      <c r="C6" s="55"/>
      <c r="D6" s="60"/>
      <c r="E6" s="55"/>
      <c r="F6" s="63"/>
      <c r="G6" s="10" t="s">
        <v>62</v>
      </c>
      <c r="H6" s="10" t="s">
        <v>63</v>
      </c>
      <c r="I6" s="60"/>
      <c r="J6" s="10" t="s">
        <v>62</v>
      </c>
      <c r="K6" s="10" t="s">
        <v>63</v>
      </c>
    </row>
    <row r="7" spans="1:11" s="33" customFormat="1" ht="18" customHeight="1">
      <c r="A7" s="31" t="s">
        <v>64</v>
      </c>
      <c r="B7" s="13"/>
      <c r="C7" s="32"/>
      <c r="D7" s="13"/>
      <c r="E7" s="14"/>
      <c r="F7" s="13"/>
      <c r="G7" s="13"/>
      <c r="H7" s="14"/>
      <c r="I7" s="13"/>
      <c r="J7" s="13"/>
      <c r="K7" s="14"/>
    </row>
    <row r="8" spans="1:11" s="30" customFormat="1" ht="18" hidden="1" customHeight="1">
      <c r="A8" s="34" t="s">
        <v>65</v>
      </c>
      <c r="B8" s="19"/>
      <c r="C8" s="35"/>
      <c r="D8" s="19"/>
      <c r="E8" s="14"/>
      <c r="F8" s="19"/>
      <c r="G8" s="19">
        <f t="shared" ref="G8:G48" si="0">D8-F8</f>
        <v>0</v>
      </c>
      <c r="H8" s="14"/>
      <c r="I8" s="19"/>
      <c r="J8" s="13">
        <v>0</v>
      </c>
      <c r="K8" s="14" t="e">
        <f t="shared" ref="K8:K49" si="1">J8/B8*100</f>
        <v>#DIV/0!</v>
      </c>
    </row>
    <row r="9" spans="1:11" s="33" customFormat="1" ht="18" customHeight="1">
      <c r="A9" s="31" t="s">
        <v>66</v>
      </c>
      <c r="B9" s="13">
        <f>B10</f>
        <v>120</v>
      </c>
      <c r="C9" s="13">
        <f>C10</f>
        <v>613</v>
      </c>
      <c r="D9" s="13">
        <f>D10</f>
        <v>413</v>
      </c>
      <c r="E9" s="14">
        <f t="shared" ref="E9:E49" si="2">D9/C9*100</f>
        <v>67.373572593800972</v>
      </c>
      <c r="F9" s="13">
        <f>F10</f>
        <v>180</v>
      </c>
      <c r="G9" s="13">
        <f t="shared" si="0"/>
        <v>233</v>
      </c>
      <c r="H9" s="14">
        <f t="shared" ref="H9:H49" si="3">G9/F9*100</f>
        <v>129.44444444444446</v>
      </c>
      <c r="I9" s="13">
        <f>I10</f>
        <v>613</v>
      </c>
      <c r="J9" s="13">
        <f>I9-B9</f>
        <v>493</v>
      </c>
      <c r="K9" s="14">
        <f t="shared" si="1"/>
        <v>410.83333333333331</v>
      </c>
    </row>
    <row r="10" spans="1:11" s="30" customFormat="1" ht="18" customHeight="1">
      <c r="A10" s="34" t="s">
        <v>67</v>
      </c>
      <c r="B10" s="19">
        <v>120</v>
      </c>
      <c r="C10" s="35">
        <v>613</v>
      </c>
      <c r="D10" s="19">
        <v>413</v>
      </c>
      <c r="E10" s="14">
        <f t="shared" si="2"/>
        <v>67.373572593800972</v>
      </c>
      <c r="F10" s="19">
        <v>180</v>
      </c>
      <c r="G10" s="19">
        <f t="shared" si="0"/>
        <v>233</v>
      </c>
      <c r="H10" s="14">
        <f t="shared" si="3"/>
        <v>129.44444444444446</v>
      </c>
      <c r="I10" s="19">
        <v>613</v>
      </c>
      <c r="J10" s="13">
        <f t="shared" ref="J10:J49" si="4">I10-B10</f>
        <v>493</v>
      </c>
      <c r="K10" s="14">
        <f t="shared" si="1"/>
        <v>410.83333333333331</v>
      </c>
    </row>
    <row r="11" spans="1:11" s="33" customFormat="1" ht="18" customHeight="1">
      <c r="A11" s="31" t="s">
        <v>68</v>
      </c>
      <c r="B11" s="13">
        <f>B12+B13</f>
        <v>32169</v>
      </c>
      <c r="C11" s="13">
        <f>C12+C13</f>
        <v>36529</v>
      </c>
      <c r="D11" s="13">
        <f>D12+D13</f>
        <v>27407</v>
      </c>
      <c r="E11" s="14">
        <f t="shared" si="2"/>
        <v>75.028059897615591</v>
      </c>
      <c r="F11" s="13">
        <f>F12+F13</f>
        <v>22722</v>
      </c>
      <c r="G11" s="13">
        <f>G12+G13</f>
        <v>4685</v>
      </c>
      <c r="H11" s="14">
        <f t="shared" si="3"/>
        <v>20.618783557785406</v>
      </c>
      <c r="I11" s="13">
        <f>I12+I13</f>
        <v>31352</v>
      </c>
      <c r="J11" s="13">
        <f t="shared" si="4"/>
        <v>-817</v>
      </c>
      <c r="K11" s="14">
        <f t="shared" si="1"/>
        <v>-2.5397121452329885</v>
      </c>
    </row>
    <row r="12" spans="1:11" s="30" customFormat="1" ht="18" customHeight="1">
      <c r="A12" s="34" t="s">
        <v>69</v>
      </c>
      <c r="B12" s="19">
        <v>31967</v>
      </c>
      <c r="C12" s="35">
        <v>36480</v>
      </c>
      <c r="D12" s="35">
        <v>27395</v>
      </c>
      <c r="E12" s="14">
        <f t="shared" si="2"/>
        <v>75.095942982456137</v>
      </c>
      <c r="F12" s="19">
        <v>22525</v>
      </c>
      <c r="G12" s="19">
        <f t="shared" si="0"/>
        <v>4870</v>
      </c>
      <c r="H12" s="14">
        <f t="shared" si="3"/>
        <v>21.620421753607104</v>
      </c>
      <c r="I12" s="19">
        <v>31340</v>
      </c>
      <c r="J12" s="13">
        <f t="shared" si="4"/>
        <v>-627</v>
      </c>
      <c r="K12" s="14">
        <f t="shared" si="1"/>
        <v>-1.9613976913692246</v>
      </c>
    </row>
    <row r="13" spans="1:11" s="30" customFormat="1" ht="18" customHeight="1">
      <c r="A13" s="34" t="s">
        <v>70</v>
      </c>
      <c r="B13" s="19">
        <v>202</v>
      </c>
      <c r="C13" s="35">
        <v>49</v>
      </c>
      <c r="D13" s="19">
        <v>12</v>
      </c>
      <c r="E13" s="14">
        <f t="shared" si="2"/>
        <v>24.489795918367346</v>
      </c>
      <c r="F13" s="19">
        <v>197</v>
      </c>
      <c r="G13" s="19">
        <f t="shared" si="0"/>
        <v>-185</v>
      </c>
      <c r="H13" s="14">
        <f t="shared" si="3"/>
        <v>-93.90862944162437</v>
      </c>
      <c r="I13" s="19">
        <v>12</v>
      </c>
      <c r="J13" s="13">
        <f t="shared" si="4"/>
        <v>-190</v>
      </c>
      <c r="K13" s="14">
        <f t="shared" si="1"/>
        <v>-94.059405940594047</v>
      </c>
    </row>
    <row r="14" spans="1:11" s="33" customFormat="1" ht="18" customHeight="1">
      <c r="A14" s="31" t="s">
        <v>71</v>
      </c>
      <c r="B14" s="13"/>
      <c r="C14" s="32"/>
      <c r="D14" s="13"/>
      <c r="E14" s="14"/>
      <c r="F14" s="13"/>
      <c r="G14" s="13"/>
      <c r="H14" s="14"/>
      <c r="I14" s="13"/>
      <c r="J14" s="13">
        <f t="shared" si="4"/>
        <v>0</v>
      </c>
      <c r="K14" s="14"/>
    </row>
    <row r="15" spans="1:11" s="33" customFormat="1" ht="18" hidden="1" customHeight="1">
      <c r="A15" s="34" t="s">
        <v>72</v>
      </c>
      <c r="B15" s="13"/>
      <c r="C15" s="32"/>
      <c r="D15" s="13"/>
      <c r="E15" s="14"/>
      <c r="F15" s="13"/>
      <c r="G15" s="19">
        <f t="shared" si="0"/>
        <v>0</v>
      </c>
      <c r="H15" s="14"/>
      <c r="I15" s="13"/>
      <c r="J15" s="13">
        <f t="shared" si="4"/>
        <v>0</v>
      </c>
      <c r="K15" s="14" t="e">
        <f t="shared" si="1"/>
        <v>#DIV/0!</v>
      </c>
    </row>
    <row r="16" spans="1:11" s="30" customFormat="1" ht="18" hidden="1" customHeight="1">
      <c r="A16" s="34" t="s">
        <v>73</v>
      </c>
      <c r="B16" s="19"/>
      <c r="C16" s="35"/>
      <c r="D16" s="19"/>
      <c r="E16" s="14"/>
      <c r="F16" s="19"/>
      <c r="G16" s="19">
        <f t="shared" si="0"/>
        <v>0</v>
      </c>
      <c r="H16" s="14"/>
      <c r="I16" s="19"/>
      <c r="J16" s="13">
        <f t="shared" si="4"/>
        <v>0</v>
      </c>
      <c r="K16" s="14" t="e">
        <f t="shared" si="1"/>
        <v>#DIV/0!</v>
      </c>
    </row>
    <row r="17" spans="1:11" s="33" customFormat="1" ht="18" customHeight="1">
      <c r="A17" s="31" t="s">
        <v>74</v>
      </c>
      <c r="B17" s="13">
        <f>SUM(B18:B22)</f>
        <v>674518</v>
      </c>
      <c r="C17" s="13">
        <f>SUM(C18:C22)</f>
        <v>671155</v>
      </c>
      <c r="D17" s="13">
        <f>SUM(D18:D22)</f>
        <v>532081</v>
      </c>
      <c r="E17" s="14">
        <f t="shared" si="2"/>
        <v>79.27840811734994</v>
      </c>
      <c r="F17" s="13">
        <f>SUM(F18:F22)</f>
        <v>507089</v>
      </c>
      <c r="G17" s="13">
        <f>SUM(G18:G22)</f>
        <v>24992</v>
      </c>
      <c r="H17" s="14">
        <f t="shared" si="3"/>
        <v>4.9285233953014167</v>
      </c>
      <c r="I17" s="13">
        <f>SUM(I18:I22)</f>
        <v>724682</v>
      </c>
      <c r="J17" s="13">
        <f t="shared" si="4"/>
        <v>50164</v>
      </c>
      <c r="K17" s="14">
        <f t="shared" si="1"/>
        <v>7.437014282791564</v>
      </c>
    </row>
    <row r="18" spans="1:11" s="30" customFormat="1" ht="18" customHeight="1">
      <c r="A18" s="34" t="s">
        <v>75</v>
      </c>
      <c r="B18" s="19">
        <f>635182+2170</f>
        <v>637352</v>
      </c>
      <c r="C18" s="35">
        <v>631639</v>
      </c>
      <c r="D18" s="35">
        <f>504735-172+2197</f>
        <v>506760</v>
      </c>
      <c r="E18" s="14">
        <f t="shared" si="2"/>
        <v>80.229371523924272</v>
      </c>
      <c r="F18" s="19">
        <f>452081+2130+34046</f>
        <v>488257</v>
      </c>
      <c r="G18" s="19">
        <f t="shared" si="0"/>
        <v>18503</v>
      </c>
      <c r="H18" s="14">
        <f t="shared" si="3"/>
        <v>3.7896026068238648</v>
      </c>
      <c r="I18" s="19">
        <f>627458+62297-1162+100</f>
        <v>688693</v>
      </c>
      <c r="J18" s="13">
        <f t="shared" si="4"/>
        <v>51341</v>
      </c>
      <c r="K18" s="14">
        <f t="shared" si="1"/>
        <v>8.0553603032547159</v>
      </c>
    </row>
    <row r="19" spans="1:11" s="30" customFormat="1" ht="18" customHeight="1">
      <c r="A19" s="34" t="s">
        <v>76</v>
      </c>
      <c r="B19" s="19">
        <v>17485</v>
      </c>
      <c r="C19" s="35">
        <v>14857</v>
      </c>
      <c r="D19" s="35">
        <v>7198</v>
      </c>
      <c r="E19" s="14">
        <f t="shared" si="2"/>
        <v>48.448542774449756</v>
      </c>
      <c r="F19" s="19">
        <v>6520</v>
      </c>
      <c r="G19" s="19">
        <f t="shared" si="0"/>
        <v>678</v>
      </c>
      <c r="H19" s="14">
        <f t="shared" si="3"/>
        <v>10.398773006134968</v>
      </c>
      <c r="I19" s="19">
        <f>15120</f>
        <v>15120</v>
      </c>
      <c r="J19" s="13">
        <f t="shared" si="4"/>
        <v>-2365</v>
      </c>
      <c r="K19" s="14">
        <f t="shared" si="1"/>
        <v>-13.525879325135831</v>
      </c>
    </row>
    <row r="20" spans="1:11" s="30" customFormat="1" ht="18" customHeight="1">
      <c r="A20" s="34" t="s">
        <v>77</v>
      </c>
      <c r="B20" s="19">
        <v>3060</v>
      </c>
      <c r="C20" s="35">
        <v>2851</v>
      </c>
      <c r="D20" s="35">
        <v>1588</v>
      </c>
      <c r="E20" s="14">
        <f t="shared" si="2"/>
        <v>55.699754472115046</v>
      </c>
      <c r="F20" s="19">
        <v>743</v>
      </c>
      <c r="G20" s="19">
        <f t="shared" si="0"/>
        <v>845</v>
      </c>
      <c r="H20" s="14">
        <f t="shared" si="3"/>
        <v>113.72812920592195</v>
      </c>
      <c r="I20" s="19">
        <f>3089</f>
        <v>3089</v>
      </c>
      <c r="J20" s="13">
        <f t="shared" si="4"/>
        <v>29</v>
      </c>
      <c r="K20" s="14">
        <f t="shared" si="1"/>
        <v>0.94771241830065356</v>
      </c>
    </row>
    <row r="21" spans="1:11" s="30" customFormat="1" ht="18" customHeight="1">
      <c r="A21" s="34" t="s">
        <v>78</v>
      </c>
      <c r="B21" s="19">
        <v>9987</v>
      </c>
      <c r="C21" s="35">
        <v>13611</v>
      </c>
      <c r="D21" s="35">
        <v>9457</v>
      </c>
      <c r="E21" s="14">
        <f t="shared" si="2"/>
        <v>69.480567188303581</v>
      </c>
      <c r="F21" s="19">
        <v>5447</v>
      </c>
      <c r="G21" s="19">
        <f t="shared" si="0"/>
        <v>4010</v>
      </c>
      <c r="H21" s="14">
        <f t="shared" si="3"/>
        <v>73.618505599412515</v>
      </c>
      <c r="I21" s="19">
        <f>8160</f>
        <v>8160</v>
      </c>
      <c r="J21" s="13">
        <f t="shared" si="4"/>
        <v>-1827</v>
      </c>
      <c r="K21" s="14">
        <f t="shared" si="1"/>
        <v>-18.29378191649144</v>
      </c>
    </row>
    <row r="22" spans="1:11" s="30" customFormat="1" ht="18" customHeight="1">
      <c r="A22" s="34" t="s">
        <v>79</v>
      </c>
      <c r="B22" s="19">
        <v>6634</v>
      </c>
      <c r="C22" s="35">
        <v>8197</v>
      </c>
      <c r="D22" s="35">
        <v>7078</v>
      </c>
      <c r="E22" s="14">
        <f t="shared" si="2"/>
        <v>86.34866414541905</v>
      </c>
      <c r="F22" s="19">
        <v>6122</v>
      </c>
      <c r="G22" s="19">
        <f t="shared" si="0"/>
        <v>956</v>
      </c>
      <c r="H22" s="14">
        <f t="shared" si="3"/>
        <v>15.615811826200588</v>
      </c>
      <c r="I22" s="19">
        <v>9620</v>
      </c>
      <c r="J22" s="13">
        <f t="shared" si="4"/>
        <v>2986</v>
      </c>
      <c r="K22" s="14">
        <f t="shared" si="1"/>
        <v>45.010551703346394</v>
      </c>
    </row>
    <row r="23" spans="1:11" s="33" customFormat="1" ht="18" customHeight="1">
      <c r="A23" s="31" t="s">
        <v>80</v>
      </c>
      <c r="B23" s="13">
        <f>SUM(B24:B27)</f>
        <v>4386</v>
      </c>
      <c r="C23" s="13">
        <f>SUM(C24:C27)</f>
        <v>7439</v>
      </c>
      <c r="D23" s="13">
        <f>SUM(D24:D27)</f>
        <v>4302</v>
      </c>
      <c r="E23" s="14">
        <f t="shared" si="2"/>
        <v>57.830353542142767</v>
      </c>
      <c r="F23" s="13">
        <f>SUM(F24:F27)</f>
        <v>2471</v>
      </c>
      <c r="G23" s="13">
        <f>SUM(G24:G27)</f>
        <v>1831</v>
      </c>
      <c r="H23" s="14">
        <f t="shared" si="3"/>
        <v>74.099554836098747</v>
      </c>
      <c r="I23" s="13">
        <f>SUM(I24:I27)</f>
        <v>6074</v>
      </c>
      <c r="J23" s="13">
        <f t="shared" si="4"/>
        <v>1688</v>
      </c>
      <c r="K23" s="14">
        <f t="shared" si="1"/>
        <v>38.486092111263112</v>
      </c>
    </row>
    <row r="24" spans="1:11" s="30" customFormat="1" ht="18" customHeight="1">
      <c r="A24" s="34" t="s">
        <v>81</v>
      </c>
      <c r="B24" s="19"/>
      <c r="C24" s="35"/>
      <c r="D24" s="19"/>
      <c r="E24" s="14"/>
      <c r="F24" s="19"/>
      <c r="G24" s="19"/>
      <c r="H24" s="14"/>
      <c r="I24" s="19"/>
      <c r="J24" s="13">
        <f t="shared" si="4"/>
        <v>0</v>
      </c>
      <c r="K24" s="14"/>
    </row>
    <row r="25" spans="1:11" s="30" customFormat="1" ht="18" customHeight="1">
      <c r="A25" s="34" t="s">
        <v>82</v>
      </c>
      <c r="B25" s="19">
        <v>3738</v>
      </c>
      <c r="C25" s="35">
        <v>3950</v>
      </c>
      <c r="D25" s="19">
        <v>1097</v>
      </c>
      <c r="E25" s="14">
        <f t="shared" si="2"/>
        <v>27.772151898734176</v>
      </c>
      <c r="F25" s="19">
        <v>2421</v>
      </c>
      <c r="G25" s="19">
        <f t="shared" si="0"/>
        <v>-1324</v>
      </c>
      <c r="H25" s="14">
        <f t="shared" si="3"/>
        <v>-54.688145394465096</v>
      </c>
      <c r="I25" s="19">
        <v>2585</v>
      </c>
      <c r="J25" s="13">
        <f t="shared" si="4"/>
        <v>-1153</v>
      </c>
      <c r="K25" s="14">
        <f t="shared" si="1"/>
        <v>-30.845371856607812</v>
      </c>
    </row>
    <row r="26" spans="1:11" s="33" customFormat="1" ht="18" customHeight="1">
      <c r="A26" s="34" t="s">
        <v>83</v>
      </c>
      <c r="B26" s="13"/>
      <c r="C26" s="32"/>
      <c r="D26" s="13"/>
      <c r="E26" s="14"/>
      <c r="F26" s="13"/>
      <c r="G26" s="19"/>
      <c r="H26" s="14"/>
      <c r="I26" s="13"/>
      <c r="J26" s="13">
        <f t="shared" si="4"/>
        <v>0</v>
      </c>
      <c r="K26" s="14"/>
    </row>
    <row r="27" spans="1:11" s="30" customFormat="1" ht="18" customHeight="1">
      <c r="A27" s="36" t="s">
        <v>84</v>
      </c>
      <c r="B27" s="19">
        <v>648</v>
      </c>
      <c r="C27" s="19">
        <v>3489</v>
      </c>
      <c r="D27" s="19">
        <v>3205</v>
      </c>
      <c r="E27" s="14">
        <f t="shared" si="2"/>
        <v>91.860131842934933</v>
      </c>
      <c r="F27" s="19">
        <v>50</v>
      </c>
      <c r="G27" s="19">
        <f t="shared" si="0"/>
        <v>3155</v>
      </c>
      <c r="H27" s="14">
        <f t="shared" si="3"/>
        <v>6310</v>
      </c>
      <c r="I27" s="19">
        <v>3489</v>
      </c>
      <c r="J27" s="13">
        <f t="shared" si="4"/>
        <v>2841</v>
      </c>
      <c r="K27" s="14">
        <f t="shared" si="1"/>
        <v>438.42592592592598</v>
      </c>
    </row>
    <row r="28" spans="1:11" s="33" customFormat="1" ht="18" customHeight="1">
      <c r="A28" s="37" t="s">
        <v>85</v>
      </c>
      <c r="B28" s="13"/>
      <c r="C28" s="13"/>
      <c r="D28" s="13"/>
      <c r="E28" s="14"/>
      <c r="F28" s="13"/>
      <c r="G28" s="13"/>
      <c r="H28" s="14"/>
      <c r="I28" s="13"/>
      <c r="J28" s="13">
        <f t="shared" si="4"/>
        <v>0</v>
      </c>
      <c r="K28" s="14"/>
    </row>
    <row r="29" spans="1:11" s="30" customFormat="1" ht="18" hidden="1" customHeight="1">
      <c r="A29" s="36" t="s">
        <v>86</v>
      </c>
      <c r="B29" s="19"/>
      <c r="C29" s="19"/>
      <c r="D29" s="19"/>
      <c r="E29" s="14" t="e">
        <f t="shared" si="2"/>
        <v>#DIV/0!</v>
      </c>
      <c r="F29" s="19"/>
      <c r="G29" s="19">
        <f t="shared" si="0"/>
        <v>0</v>
      </c>
      <c r="H29" s="14" t="e">
        <f t="shared" si="3"/>
        <v>#DIV/0!</v>
      </c>
      <c r="I29" s="19"/>
      <c r="J29" s="13">
        <f t="shared" si="4"/>
        <v>0</v>
      </c>
      <c r="K29" s="14" t="e">
        <f t="shared" si="1"/>
        <v>#DIV/0!</v>
      </c>
    </row>
    <row r="30" spans="1:11" s="30" customFormat="1" ht="18" hidden="1" customHeight="1">
      <c r="A30" s="36" t="s">
        <v>87</v>
      </c>
      <c r="B30" s="19"/>
      <c r="C30" s="19"/>
      <c r="D30" s="19"/>
      <c r="E30" s="14" t="e">
        <f t="shared" si="2"/>
        <v>#DIV/0!</v>
      </c>
      <c r="F30" s="19"/>
      <c r="G30" s="19">
        <f t="shared" si="0"/>
        <v>0</v>
      </c>
      <c r="H30" s="14" t="e">
        <f t="shared" si="3"/>
        <v>#DIV/0!</v>
      </c>
      <c r="I30" s="19"/>
      <c r="J30" s="13">
        <f t="shared" si="4"/>
        <v>0</v>
      </c>
      <c r="K30" s="14" t="e">
        <f t="shared" si="1"/>
        <v>#DIV/0!</v>
      </c>
    </row>
    <row r="31" spans="1:11" s="30" customFormat="1" ht="18" hidden="1" customHeight="1">
      <c r="A31" s="36" t="s">
        <v>88</v>
      </c>
      <c r="B31" s="19"/>
      <c r="C31" s="19"/>
      <c r="D31" s="19"/>
      <c r="E31" s="14" t="e">
        <f t="shared" si="2"/>
        <v>#DIV/0!</v>
      </c>
      <c r="F31" s="19"/>
      <c r="G31" s="19">
        <f t="shared" si="0"/>
        <v>0</v>
      </c>
      <c r="H31" s="14" t="e">
        <f t="shared" si="3"/>
        <v>#DIV/0!</v>
      </c>
      <c r="I31" s="19"/>
      <c r="J31" s="13">
        <f t="shared" si="4"/>
        <v>0</v>
      </c>
      <c r="K31" s="14" t="e">
        <f t="shared" si="1"/>
        <v>#DIV/0!</v>
      </c>
    </row>
    <row r="32" spans="1:11" s="30" customFormat="1" ht="18" hidden="1" customHeight="1">
      <c r="A32" s="36" t="s">
        <v>89</v>
      </c>
      <c r="B32" s="19"/>
      <c r="C32" s="19"/>
      <c r="D32" s="19"/>
      <c r="E32" s="14" t="e">
        <f t="shared" si="2"/>
        <v>#DIV/0!</v>
      </c>
      <c r="F32" s="19"/>
      <c r="G32" s="19">
        <f t="shared" si="0"/>
        <v>0</v>
      </c>
      <c r="H32" s="14" t="e">
        <f t="shared" si="3"/>
        <v>#DIV/0!</v>
      </c>
      <c r="I32" s="19"/>
      <c r="J32" s="13">
        <f t="shared" si="4"/>
        <v>0</v>
      </c>
      <c r="K32" s="14" t="e">
        <f t="shared" si="1"/>
        <v>#DIV/0!</v>
      </c>
    </row>
    <row r="33" spans="1:11" s="30" customFormat="1" ht="18" hidden="1" customHeight="1">
      <c r="A33" s="36" t="s">
        <v>90</v>
      </c>
      <c r="B33" s="19"/>
      <c r="C33" s="19"/>
      <c r="D33" s="19"/>
      <c r="E33" s="14" t="e">
        <f t="shared" si="2"/>
        <v>#DIV/0!</v>
      </c>
      <c r="F33" s="19"/>
      <c r="G33" s="19">
        <f t="shared" si="0"/>
        <v>0</v>
      </c>
      <c r="H33" s="14" t="e">
        <f t="shared" si="3"/>
        <v>#DIV/0!</v>
      </c>
      <c r="I33" s="19"/>
      <c r="J33" s="13">
        <f t="shared" si="4"/>
        <v>0</v>
      </c>
      <c r="K33" s="14" t="e">
        <f t="shared" si="1"/>
        <v>#DIV/0!</v>
      </c>
    </row>
    <row r="34" spans="1:11" s="30" customFormat="1" ht="18" hidden="1" customHeight="1">
      <c r="A34" s="36" t="s">
        <v>91</v>
      </c>
      <c r="B34" s="19"/>
      <c r="C34" s="19"/>
      <c r="D34" s="19"/>
      <c r="E34" s="14" t="e">
        <f t="shared" si="2"/>
        <v>#DIV/0!</v>
      </c>
      <c r="F34" s="19"/>
      <c r="G34" s="19">
        <f t="shared" si="0"/>
        <v>0</v>
      </c>
      <c r="H34" s="14" t="e">
        <f t="shared" si="3"/>
        <v>#DIV/0!</v>
      </c>
      <c r="I34" s="19"/>
      <c r="J34" s="13">
        <f t="shared" si="4"/>
        <v>0</v>
      </c>
      <c r="K34" s="14" t="e">
        <f t="shared" si="1"/>
        <v>#DIV/0!</v>
      </c>
    </row>
    <row r="35" spans="1:11" s="33" customFormat="1" ht="18" customHeight="1">
      <c r="A35" s="37" t="s">
        <v>92</v>
      </c>
      <c r="B35" s="13">
        <f>B36+B37</f>
        <v>0</v>
      </c>
      <c r="C35" s="13">
        <f>C36+C37</f>
        <v>170</v>
      </c>
      <c r="D35" s="13">
        <f>D36+D37</f>
        <v>0</v>
      </c>
      <c r="E35" s="14">
        <f t="shared" si="2"/>
        <v>0</v>
      </c>
      <c r="F35" s="13">
        <f>F36+F37</f>
        <v>99</v>
      </c>
      <c r="G35" s="13">
        <f>G36+G37</f>
        <v>-99</v>
      </c>
      <c r="H35" s="14">
        <f t="shared" si="3"/>
        <v>-100</v>
      </c>
      <c r="I35" s="13">
        <f>SUM(I36:I37)</f>
        <v>0</v>
      </c>
      <c r="J35" s="13">
        <f t="shared" si="4"/>
        <v>0</v>
      </c>
      <c r="K35" s="14"/>
    </row>
    <row r="36" spans="1:11" s="30" customFormat="1" ht="18" customHeight="1">
      <c r="A36" s="36" t="s">
        <v>93</v>
      </c>
      <c r="B36" s="19"/>
      <c r="C36" s="19">
        <v>170</v>
      </c>
      <c r="D36" s="19"/>
      <c r="E36" s="14">
        <f t="shared" si="2"/>
        <v>0</v>
      </c>
      <c r="F36" s="19">
        <v>99</v>
      </c>
      <c r="G36" s="19">
        <f t="shared" si="0"/>
        <v>-99</v>
      </c>
      <c r="H36" s="14">
        <f t="shared" si="3"/>
        <v>-100</v>
      </c>
      <c r="I36" s="19"/>
      <c r="J36" s="13">
        <f t="shared" si="4"/>
        <v>0</v>
      </c>
      <c r="K36" s="14"/>
    </row>
    <row r="37" spans="1:11" s="30" customFormat="1" ht="18" hidden="1" customHeight="1">
      <c r="A37" s="36" t="s">
        <v>94</v>
      </c>
      <c r="B37" s="19"/>
      <c r="C37" s="19"/>
      <c r="D37" s="19"/>
      <c r="E37" s="14" t="e">
        <f t="shared" si="2"/>
        <v>#DIV/0!</v>
      </c>
      <c r="F37" s="19"/>
      <c r="G37" s="19">
        <f t="shared" si="0"/>
        <v>0</v>
      </c>
      <c r="H37" s="14" t="e">
        <f t="shared" si="3"/>
        <v>#DIV/0!</v>
      </c>
      <c r="I37" s="19"/>
      <c r="J37" s="13">
        <f t="shared" si="4"/>
        <v>0</v>
      </c>
      <c r="K37" s="14" t="e">
        <f t="shared" si="1"/>
        <v>#DIV/0!</v>
      </c>
    </row>
    <row r="38" spans="1:11" s="33" customFormat="1" ht="18" customHeight="1">
      <c r="A38" s="37" t="s">
        <v>95</v>
      </c>
      <c r="B38" s="13">
        <f>B39</f>
        <v>95</v>
      </c>
      <c r="C38" s="13">
        <f>C39</f>
        <v>312</v>
      </c>
      <c r="D38" s="13">
        <f>D39</f>
        <v>312</v>
      </c>
      <c r="E38" s="14">
        <f t="shared" si="2"/>
        <v>100</v>
      </c>
      <c r="F38" s="13">
        <f>F39</f>
        <v>11</v>
      </c>
      <c r="G38" s="13">
        <f>G39</f>
        <v>301</v>
      </c>
      <c r="H38" s="14">
        <f t="shared" si="3"/>
        <v>2736.3636363636365</v>
      </c>
      <c r="I38" s="13">
        <f>I39</f>
        <v>312</v>
      </c>
      <c r="J38" s="13">
        <f t="shared" si="4"/>
        <v>217</v>
      </c>
      <c r="K38" s="14">
        <f t="shared" si="1"/>
        <v>228.42105263157896</v>
      </c>
    </row>
    <row r="39" spans="1:11" s="33" customFormat="1" ht="18" customHeight="1">
      <c r="A39" s="36" t="s">
        <v>96</v>
      </c>
      <c r="B39" s="19">
        <v>95</v>
      </c>
      <c r="C39" s="35">
        <v>312</v>
      </c>
      <c r="D39" s="19">
        <v>312</v>
      </c>
      <c r="E39" s="14">
        <f t="shared" si="2"/>
        <v>100</v>
      </c>
      <c r="F39" s="19">
        <v>11</v>
      </c>
      <c r="G39" s="19">
        <f t="shared" si="0"/>
        <v>301</v>
      </c>
      <c r="H39" s="14">
        <f t="shared" si="3"/>
        <v>2736.3636363636365</v>
      </c>
      <c r="I39" s="19">
        <v>312</v>
      </c>
      <c r="J39" s="13">
        <f t="shared" si="4"/>
        <v>217</v>
      </c>
      <c r="K39" s="14">
        <f t="shared" si="1"/>
        <v>228.42105263157896</v>
      </c>
    </row>
    <row r="40" spans="1:11" s="33" customFormat="1" ht="18" customHeight="1">
      <c r="A40" s="37" t="s">
        <v>97</v>
      </c>
      <c r="B40" s="13"/>
      <c r="C40" s="13"/>
      <c r="D40" s="13"/>
      <c r="E40" s="14"/>
      <c r="F40" s="13"/>
      <c r="G40" s="19"/>
      <c r="H40" s="14"/>
      <c r="I40" s="13"/>
      <c r="J40" s="13">
        <f t="shared" si="4"/>
        <v>0</v>
      </c>
      <c r="K40" s="14"/>
    </row>
    <row r="41" spans="1:11" s="33" customFormat="1" ht="18" customHeight="1">
      <c r="A41" s="37" t="s">
        <v>98</v>
      </c>
      <c r="B41" s="13">
        <f>B42+B43+B44</f>
        <v>69523</v>
      </c>
      <c r="C41" s="13">
        <f>C42+C43+C44</f>
        <v>16310</v>
      </c>
      <c r="D41" s="13">
        <f>D42+D43+D44</f>
        <v>10427</v>
      </c>
      <c r="E41" s="14">
        <f t="shared" si="2"/>
        <v>63.930104230533416</v>
      </c>
      <c r="F41" s="13">
        <f>F42+F43+F44</f>
        <v>12020</v>
      </c>
      <c r="G41" s="13">
        <f>G42+G43+G44</f>
        <v>-1593</v>
      </c>
      <c r="H41" s="14">
        <f t="shared" si="3"/>
        <v>-13.252911813643928</v>
      </c>
      <c r="I41" s="13">
        <f>SUM(I42:I44)</f>
        <v>13499</v>
      </c>
      <c r="J41" s="13">
        <f t="shared" si="4"/>
        <v>-56024</v>
      </c>
      <c r="K41" s="14">
        <f t="shared" si="1"/>
        <v>-80.583404053334874</v>
      </c>
    </row>
    <row r="42" spans="1:11" s="30" customFormat="1" ht="18" customHeight="1">
      <c r="A42" s="36" t="s">
        <v>99</v>
      </c>
      <c r="B42" s="19">
        <f>1011+56471</f>
        <v>57482</v>
      </c>
      <c r="C42" s="35">
        <v>500</v>
      </c>
      <c r="D42" s="35">
        <f>26+346</f>
        <v>372</v>
      </c>
      <c r="E42" s="14">
        <f t="shared" si="2"/>
        <v>74.400000000000006</v>
      </c>
      <c r="F42" s="19">
        <f>272+799</f>
        <v>1071</v>
      </c>
      <c r="G42" s="19">
        <f t="shared" si="0"/>
        <v>-699</v>
      </c>
      <c r="H42" s="14">
        <f t="shared" si="3"/>
        <v>-65.266106442577026</v>
      </c>
      <c r="I42" s="19">
        <v>1380</v>
      </c>
      <c r="J42" s="13">
        <f t="shared" si="4"/>
        <v>-56102</v>
      </c>
      <c r="K42" s="14">
        <f t="shared" si="1"/>
        <v>-97.599248460387599</v>
      </c>
    </row>
    <row r="43" spans="1:11" s="30" customFormat="1" ht="18" customHeight="1">
      <c r="A43" s="36" t="s">
        <v>100</v>
      </c>
      <c r="B43" s="19"/>
      <c r="C43" s="35"/>
      <c r="D43" s="19"/>
      <c r="E43" s="14"/>
      <c r="F43" s="19"/>
      <c r="G43" s="19"/>
      <c r="H43" s="14"/>
      <c r="I43" s="19">
        <v>592</v>
      </c>
      <c r="J43" s="13">
        <f t="shared" si="4"/>
        <v>592</v>
      </c>
      <c r="K43" s="14"/>
    </row>
    <row r="44" spans="1:11" s="30" customFormat="1" ht="18" customHeight="1">
      <c r="A44" s="36" t="s">
        <v>101</v>
      </c>
      <c r="B44" s="19">
        <v>12041</v>
      </c>
      <c r="C44" s="35">
        <v>15810</v>
      </c>
      <c r="D44" s="35">
        <v>10055</v>
      </c>
      <c r="E44" s="14">
        <f t="shared" si="2"/>
        <v>63.598987982289692</v>
      </c>
      <c r="F44" s="19">
        <v>10949</v>
      </c>
      <c r="G44" s="19">
        <f t="shared" si="0"/>
        <v>-894</v>
      </c>
      <c r="H44" s="14">
        <f t="shared" si="3"/>
        <v>-8.1651292355466261</v>
      </c>
      <c r="I44" s="19">
        <v>11527</v>
      </c>
      <c r="J44" s="13">
        <f t="shared" si="4"/>
        <v>-514</v>
      </c>
      <c r="K44" s="14">
        <f t="shared" si="1"/>
        <v>-4.2687484428203639</v>
      </c>
    </row>
    <row r="45" spans="1:11" s="33" customFormat="1" ht="18" customHeight="1">
      <c r="A45" s="37" t="s">
        <v>102</v>
      </c>
      <c r="B45" s="13">
        <f>B46</f>
        <v>5858</v>
      </c>
      <c r="C45" s="13">
        <f>C46</f>
        <v>6534</v>
      </c>
      <c r="D45" s="13">
        <f>D46</f>
        <v>6534</v>
      </c>
      <c r="E45" s="14">
        <f t="shared" si="2"/>
        <v>100</v>
      </c>
      <c r="F45" s="13">
        <f>F46</f>
        <v>900</v>
      </c>
      <c r="G45" s="13">
        <f>G46</f>
        <v>5634</v>
      </c>
      <c r="H45" s="14">
        <f t="shared" si="3"/>
        <v>626</v>
      </c>
      <c r="I45" s="13">
        <f>I46</f>
        <v>9350</v>
      </c>
      <c r="J45" s="13">
        <f t="shared" si="4"/>
        <v>3492</v>
      </c>
      <c r="K45" s="14">
        <f t="shared" si="1"/>
        <v>59.6107886650734</v>
      </c>
    </row>
    <row r="46" spans="1:11" s="30" customFormat="1" ht="18" customHeight="1">
      <c r="A46" s="36" t="s">
        <v>103</v>
      </c>
      <c r="B46" s="19">
        <v>5858</v>
      </c>
      <c r="C46" s="19">
        <v>6534</v>
      </c>
      <c r="D46" s="19">
        <v>6534</v>
      </c>
      <c r="E46" s="14">
        <f t="shared" si="2"/>
        <v>100</v>
      </c>
      <c r="F46" s="19">
        <v>900</v>
      </c>
      <c r="G46" s="19">
        <f t="shared" si="0"/>
        <v>5634</v>
      </c>
      <c r="H46" s="14">
        <f t="shared" si="3"/>
        <v>626</v>
      </c>
      <c r="I46" s="19">
        <v>9350</v>
      </c>
      <c r="J46" s="13">
        <f t="shared" si="4"/>
        <v>3492</v>
      </c>
      <c r="K46" s="14">
        <f t="shared" si="1"/>
        <v>59.6107886650734</v>
      </c>
    </row>
    <row r="47" spans="1:11" s="33" customFormat="1" ht="18" customHeight="1">
      <c r="A47" s="31" t="s">
        <v>104</v>
      </c>
      <c r="B47" s="13">
        <f>B48</f>
        <v>4</v>
      </c>
      <c r="C47" s="13">
        <f>C48</f>
        <v>113</v>
      </c>
      <c r="D47" s="13">
        <f>D48</f>
        <v>113</v>
      </c>
      <c r="E47" s="14">
        <f t="shared" si="2"/>
        <v>100</v>
      </c>
      <c r="F47" s="13">
        <f>F48</f>
        <v>132</v>
      </c>
      <c r="G47" s="13">
        <f>G48</f>
        <v>-19</v>
      </c>
      <c r="H47" s="14">
        <f t="shared" si="3"/>
        <v>-14.393939393939394</v>
      </c>
      <c r="I47" s="13">
        <f>I48</f>
        <v>4</v>
      </c>
      <c r="J47" s="13">
        <f t="shared" si="4"/>
        <v>0</v>
      </c>
      <c r="K47" s="14">
        <f t="shared" si="1"/>
        <v>0</v>
      </c>
    </row>
    <row r="48" spans="1:11" s="33" customFormat="1" ht="18" customHeight="1">
      <c r="A48" s="34" t="s">
        <v>105</v>
      </c>
      <c r="B48" s="19">
        <v>4</v>
      </c>
      <c r="C48" s="19">
        <v>113</v>
      </c>
      <c r="D48" s="19">
        <v>113</v>
      </c>
      <c r="E48" s="14">
        <f t="shared" si="2"/>
        <v>100</v>
      </c>
      <c r="F48" s="19">
        <v>132</v>
      </c>
      <c r="G48" s="19">
        <f t="shared" si="0"/>
        <v>-19</v>
      </c>
      <c r="H48" s="14">
        <f t="shared" si="3"/>
        <v>-14.393939393939394</v>
      </c>
      <c r="I48" s="19">
        <v>4</v>
      </c>
      <c r="J48" s="13">
        <f t="shared" si="4"/>
        <v>0</v>
      </c>
      <c r="K48" s="14">
        <f t="shared" si="1"/>
        <v>0</v>
      </c>
    </row>
    <row r="49" spans="1:11" s="30" customFormat="1" ht="18" customHeight="1">
      <c r="A49" s="38" t="s">
        <v>106</v>
      </c>
      <c r="B49" s="13">
        <f>B47+B45+B41+B40+B38+B35+B28+B23+B17+B14+B11+B9+B7</f>
        <v>786673</v>
      </c>
      <c r="C49" s="13">
        <f>C47+C45+C41+C40+C38+C35+C28+C23+C17+C14+C11+C9+C7</f>
        <v>739175</v>
      </c>
      <c r="D49" s="13">
        <f>D47+D45+D41+D40+D38+D35+D28+D23+D17+D14+D11+D9+D7</f>
        <v>581589</v>
      </c>
      <c r="E49" s="14">
        <f t="shared" si="2"/>
        <v>78.680826597219877</v>
      </c>
      <c r="F49" s="13">
        <f>F47+F45+F41+F40+F38+F35+F28+F23+F17+F14+F11+F9+F7</f>
        <v>545624</v>
      </c>
      <c r="G49" s="13">
        <f>G47+G45+G41+G40+G38+G35+G28+G23+G17+G14+G11+G9+G7</f>
        <v>35965</v>
      </c>
      <c r="H49" s="14">
        <f t="shared" si="3"/>
        <v>6.5915355629517762</v>
      </c>
      <c r="I49" s="13">
        <f>I47+I45+I41+I40+I38+I35+I28+I23+I17+I14+I11+I9+I7</f>
        <v>785886</v>
      </c>
      <c r="J49" s="13">
        <f t="shared" si="4"/>
        <v>-787</v>
      </c>
      <c r="K49" s="14">
        <f t="shared" si="1"/>
        <v>-0.10004156746195687</v>
      </c>
    </row>
    <row r="50" spans="1:11" s="30" customFormat="1" ht="18" customHeight="1">
      <c r="A50" s="39" t="s">
        <v>107</v>
      </c>
      <c r="B50" s="13">
        <f>B51+B54+B56+B55</f>
        <v>76154</v>
      </c>
      <c r="C50" s="13">
        <f t="shared" ref="C50:I50" si="5">C51+C54+C56+C55</f>
        <v>106734.3</v>
      </c>
      <c r="D50" s="13">
        <f t="shared" si="5"/>
        <v>219341</v>
      </c>
      <c r="E50" s="13"/>
      <c r="F50" s="13"/>
      <c r="G50" s="13"/>
      <c r="H50" s="13"/>
      <c r="I50" s="13">
        <f t="shared" si="5"/>
        <v>44810</v>
      </c>
      <c r="J50" s="13"/>
      <c r="K50" s="14"/>
    </row>
    <row r="51" spans="1:11" s="30" customFormat="1" ht="18" customHeight="1">
      <c r="A51" s="40" t="s">
        <v>166</v>
      </c>
      <c r="B51" s="19">
        <f>B52+B53</f>
        <v>0</v>
      </c>
      <c r="C51" s="19">
        <f t="shared" ref="C51:I51" si="6">C52+C53</f>
        <v>0</v>
      </c>
      <c r="D51" s="19">
        <f t="shared" si="6"/>
        <v>0</v>
      </c>
      <c r="E51" s="19"/>
      <c r="F51" s="19"/>
      <c r="G51" s="19"/>
      <c r="H51" s="19"/>
      <c r="I51" s="19">
        <f t="shared" si="6"/>
        <v>0</v>
      </c>
      <c r="J51" s="13"/>
      <c r="K51" s="23"/>
    </row>
    <row r="52" spans="1:11" s="30" customFormat="1" ht="18" customHeight="1">
      <c r="A52" s="40" t="s">
        <v>167</v>
      </c>
      <c r="B52" s="19"/>
      <c r="C52" s="35"/>
      <c r="D52" s="35"/>
      <c r="E52" s="23"/>
      <c r="F52" s="19"/>
      <c r="G52" s="19"/>
      <c r="H52" s="23"/>
      <c r="I52" s="19"/>
      <c r="J52" s="13"/>
      <c r="K52" s="23"/>
    </row>
    <row r="53" spans="1:11" s="30" customFormat="1" ht="18" customHeight="1">
      <c r="A53" s="40" t="s">
        <v>168</v>
      </c>
      <c r="B53" s="19"/>
      <c r="C53" s="35"/>
      <c r="D53" s="35"/>
      <c r="E53" s="23"/>
      <c r="F53" s="19"/>
      <c r="G53" s="19"/>
      <c r="H53" s="23"/>
      <c r="I53" s="19"/>
      <c r="J53" s="13"/>
      <c r="K53" s="23"/>
    </row>
    <row r="54" spans="1:11" s="30" customFormat="1" ht="18" customHeight="1">
      <c r="A54" s="40" t="s">
        <v>111</v>
      </c>
      <c r="B54" s="19">
        <v>76154</v>
      </c>
      <c r="C54" s="35">
        <f>104806.3-87+2015</f>
        <v>106734.3</v>
      </c>
      <c r="D54" s="35">
        <v>92868</v>
      </c>
      <c r="E54" s="23"/>
      <c r="F54" s="19"/>
      <c r="G54" s="19"/>
      <c r="H54" s="23"/>
      <c r="I54" s="19">
        <f>1461+24460+18889</f>
        <v>44810</v>
      </c>
      <c r="J54" s="13"/>
      <c r="K54" s="23"/>
    </row>
    <row r="55" spans="1:11" s="30" customFormat="1" ht="18" customHeight="1">
      <c r="A55" s="40" t="s">
        <v>169</v>
      </c>
      <c r="B55" s="19"/>
      <c r="C55" s="35"/>
      <c r="D55" s="19"/>
      <c r="E55" s="23"/>
      <c r="F55" s="19"/>
      <c r="G55" s="19"/>
      <c r="H55" s="23"/>
      <c r="I55" s="19"/>
      <c r="J55" s="13"/>
      <c r="K55" s="23"/>
    </row>
    <row r="56" spans="1:11" s="30" customFormat="1" ht="18" customHeight="1">
      <c r="A56" s="40" t="s">
        <v>113</v>
      </c>
      <c r="B56" s="19"/>
      <c r="C56" s="35"/>
      <c r="D56" s="19">
        <f>45287+103043-21857</f>
        <v>126473</v>
      </c>
      <c r="E56" s="23"/>
      <c r="F56" s="19"/>
      <c r="G56" s="19"/>
      <c r="H56" s="23"/>
      <c r="I56" s="19"/>
      <c r="J56" s="13"/>
      <c r="K56" s="23"/>
    </row>
    <row r="57" spans="1:11" s="33" customFormat="1" ht="18" customHeight="1">
      <c r="A57" s="39" t="s">
        <v>170</v>
      </c>
      <c r="B57" s="13">
        <f>B58</f>
        <v>69187</v>
      </c>
      <c r="C57" s="13">
        <f>C58</f>
        <v>89071</v>
      </c>
      <c r="D57" s="13">
        <f>D58</f>
        <v>89071</v>
      </c>
      <c r="E57" s="14"/>
      <c r="F57" s="13"/>
      <c r="G57" s="13"/>
      <c r="H57" s="14"/>
      <c r="I57" s="13">
        <f>I58</f>
        <v>46930</v>
      </c>
      <c r="J57" s="13"/>
      <c r="K57" s="14"/>
    </row>
    <row r="58" spans="1:11" s="30" customFormat="1" ht="18" customHeight="1">
      <c r="A58" s="40" t="s">
        <v>171</v>
      </c>
      <c r="B58" s="19">
        <v>69187</v>
      </c>
      <c r="C58" s="35">
        <v>89071</v>
      </c>
      <c r="D58" s="35">
        <v>89071</v>
      </c>
      <c r="E58" s="23"/>
      <c r="F58" s="19"/>
      <c r="G58" s="19"/>
      <c r="H58" s="23"/>
      <c r="I58" s="19">
        <v>46930</v>
      </c>
      <c r="J58" s="13"/>
      <c r="K58" s="23"/>
    </row>
    <row r="59" spans="1:11" s="30" customFormat="1" ht="18" customHeight="1">
      <c r="A59" s="38" t="s">
        <v>116</v>
      </c>
      <c r="B59" s="13">
        <f>B49+B50+B57</f>
        <v>932014</v>
      </c>
      <c r="C59" s="13">
        <f>C49+C50+C57</f>
        <v>934980.3</v>
      </c>
      <c r="D59" s="13">
        <f>D49+D50+D57</f>
        <v>890001</v>
      </c>
      <c r="E59" s="13"/>
      <c r="F59" s="13"/>
      <c r="G59" s="13"/>
      <c r="H59" s="13"/>
      <c r="I59" s="13">
        <f>I49+I50+I57</f>
        <v>877626</v>
      </c>
      <c r="J59" s="13"/>
      <c r="K59" s="14"/>
    </row>
    <row r="61" spans="1:11">
      <c r="B61" s="41">
        <f>B59-玉林市政府性基金预算收入表!B42</f>
        <v>-0.19999999995343387</v>
      </c>
      <c r="C61" s="41">
        <f>C59-玉林市政府性基金预算收入表!C42</f>
        <v>0.30000000004656613</v>
      </c>
      <c r="D61" s="41">
        <f>D59-玉林市政府性基金预算收入表!D42</f>
        <v>0</v>
      </c>
      <c r="E61" s="41"/>
      <c r="F61" s="41"/>
      <c r="G61" s="41"/>
      <c r="H61" s="41"/>
      <c r="I61" s="41">
        <f>I59-玉林市政府性基金预算收入表!I42</f>
        <v>0</v>
      </c>
    </row>
  </sheetData>
  <mergeCells count="12">
    <mergeCell ref="J5:K5"/>
    <mergeCell ref="A2:K2"/>
    <mergeCell ref="A4:A6"/>
    <mergeCell ref="B4:H4"/>
    <mergeCell ref="I4:K4"/>
    <mergeCell ref="B5:B6"/>
    <mergeCell ref="C5:C6"/>
    <mergeCell ref="D5:D6"/>
    <mergeCell ref="E5:E6"/>
    <mergeCell ref="F5:F6"/>
    <mergeCell ref="G5:H5"/>
    <mergeCell ref="I5:I6"/>
  </mergeCells>
  <phoneticPr fontId="2" type="noConversion"/>
  <printOptions horizontalCentered="1"/>
  <pageMargins left="0.17" right="0.17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162"/>
  <sheetViews>
    <sheetView tabSelected="1" workbookViewId="0">
      <selection activeCell="N12" sqref="N12"/>
    </sheetView>
  </sheetViews>
  <sheetFormatPr defaultRowHeight="14.25"/>
  <cols>
    <col min="1" max="1" width="45.5" style="25" customWidth="1"/>
    <col min="2" max="3" width="14" style="6" customWidth="1"/>
    <col min="4" max="4" width="13.5" style="6" customWidth="1"/>
    <col min="5" max="5" width="11.125" style="6" customWidth="1"/>
    <col min="6" max="6" width="13.625" style="6" hidden="1" customWidth="1"/>
    <col min="7" max="7" width="13.75" style="6" customWidth="1"/>
    <col min="8" max="8" width="9.375" style="6" customWidth="1"/>
    <col min="9" max="9" width="13.75" style="6" customWidth="1"/>
    <col min="10" max="10" width="13.375" style="6" customWidth="1"/>
    <col min="11" max="11" width="9.5" style="6" customWidth="1"/>
    <col min="12" max="16384" width="9" style="6"/>
  </cols>
  <sheetData>
    <row r="1" spans="1:11" s="5" customFormat="1" ht="24" customHeight="1">
      <c r="A1" s="1" t="s">
        <v>0</v>
      </c>
      <c r="B1" s="2"/>
      <c r="C1" s="3"/>
      <c r="D1" s="4"/>
      <c r="E1" s="4"/>
      <c r="F1" s="4"/>
      <c r="G1" s="4"/>
      <c r="H1" s="2"/>
      <c r="I1" s="4"/>
      <c r="J1" s="4"/>
    </row>
    <row r="2" spans="1:11" ht="30.75" customHeight="1">
      <c r="A2" s="56" t="s">
        <v>179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8" customHeight="1">
      <c r="A3" s="7"/>
      <c r="B3" s="7"/>
      <c r="C3" s="7"/>
      <c r="D3" s="7"/>
      <c r="E3" s="7"/>
      <c r="F3" s="7"/>
      <c r="G3" s="7"/>
      <c r="H3" s="7"/>
      <c r="I3" s="7"/>
      <c r="J3" s="7"/>
      <c r="K3" s="8" t="s">
        <v>1</v>
      </c>
    </row>
    <row r="4" spans="1:11" s="9" customFormat="1" ht="18" customHeight="1">
      <c r="A4" s="57" t="s">
        <v>2</v>
      </c>
      <c r="B4" s="60" t="s">
        <v>3</v>
      </c>
      <c r="C4" s="60"/>
      <c r="D4" s="60"/>
      <c r="E4" s="60"/>
      <c r="F4" s="60"/>
      <c r="G4" s="60"/>
      <c r="H4" s="60"/>
      <c r="I4" s="55" t="s">
        <v>4</v>
      </c>
      <c r="J4" s="55"/>
      <c r="K4" s="55"/>
    </row>
    <row r="5" spans="1:11" s="9" customFormat="1" ht="18" customHeight="1">
      <c r="A5" s="58"/>
      <c r="B5" s="61" t="s">
        <v>5</v>
      </c>
      <c r="C5" s="62" t="s">
        <v>6</v>
      </c>
      <c r="D5" s="60" t="s">
        <v>175</v>
      </c>
      <c r="E5" s="62" t="s">
        <v>7</v>
      </c>
      <c r="F5" s="62" t="s">
        <v>8</v>
      </c>
      <c r="G5" s="64" t="s">
        <v>9</v>
      </c>
      <c r="H5" s="65"/>
      <c r="I5" s="55" t="s">
        <v>10</v>
      </c>
      <c r="J5" s="55" t="s">
        <v>11</v>
      </c>
      <c r="K5" s="55"/>
    </row>
    <row r="6" spans="1:11" s="9" customFormat="1" ht="18" customHeight="1">
      <c r="A6" s="59"/>
      <c r="B6" s="61"/>
      <c r="C6" s="63"/>
      <c r="D6" s="60"/>
      <c r="E6" s="63"/>
      <c r="F6" s="63"/>
      <c r="G6" s="10" t="s">
        <v>12</v>
      </c>
      <c r="H6" s="10" t="s">
        <v>13</v>
      </c>
      <c r="I6" s="55"/>
      <c r="J6" s="11" t="s">
        <v>12</v>
      </c>
      <c r="K6" s="11" t="s">
        <v>13</v>
      </c>
    </row>
    <row r="7" spans="1:11" s="16" customFormat="1" ht="19.5" customHeight="1">
      <c r="A7" s="12" t="s">
        <v>14</v>
      </c>
      <c r="B7" s="13"/>
      <c r="C7" s="13"/>
      <c r="D7" s="13"/>
      <c r="E7" s="14"/>
      <c r="F7" s="15"/>
      <c r="G7" s="13"/>
      <c r="H7" s="14"/>
      <c r="I7" s="13"/>
      <c r="J7" s="13"/>
      <c r="K7" s="14"/>
    </row>
    <row r="8" spans="1:11" s="16" customFormat="1" ht="19.5" customHeight="1">
      <c r="A8" s="12" t="s">
        <v>15</v>
      </c>
      <c r="B8" s="13"/>
      <c r="C8" s="13"/>
      <c r="D8" s="13"/>
      <c r="E8" s="14"/>
      <c r="F8" s="15"/>
      <c r="G8" s="13"/>
      <c r="H8" s="14"/>
      <c r="I8" s="13"/>
      <c r="J8" s="13"/>
      <c r="K8" s="14"/>
    </row>
    <row r="9" spans="1:11" s="16" customFormat="1" ht="19.5" customHeight="1">
      <c r="A9" s="17" t="s">
        <v>16</v>
      </c>
      <c r="B9" s="13"/>
      <c r="C9" s="13"/>
      <c r="D9" s="13"/>
      <c r="E9" s="14"/>
      <c r="F9" s="13"/>
      <c r="G9" s="13"/>
      <c r="H9" s="14"/>
      <c r="I9" s="13"/>
      <c r="J9" s="13"/>
      <c r="K9" s="14"/>
    </row>
    <row r="10" spans="1:11" s="16" customFormat="1" ht="19.5" customHeight="1">
      <c r="A10" s="17" t="s">
        <v>17</v>
      </c>
      <c r="B10" s="13"/>
      <c r="C10" s="13"/>
      <c r="D10" s="13"/>
      <c r="E10" s="14"/>
      <c r="F10" s="13"/>
      <c r="G10" s="13"/>
      <c r="H10" s="14"/>
      <c r="I10" s="13"/>
      <c r="J10" s="13"/>
      <c r="K10" s="14"/>
    </row>
    <row r="11" spans="1:11" s="16" customFormat="1" ht="19.5" customHeight="1">
      <c r="A11" s="17" t="s">
        <v>18</v>
      </c>
      <c r="B11" s="13">
        <v>6200</v>
      </c>
      <c r="C11" s="13">
        <v>3500</v>
      </c>
      <c r="D11" s="13">
        <v>1544</v>
      </c>
      <c r="E11" s="14">
        <f t="shared" ref="E11:E33" si="0">D11/C11*100</f>
        <v>44.114285714285714</v>
      </c>
      <c r="F11" s="13">
        <f>5860+1072</f>
        <v>6932</v>
      </c>
      <c r="G11" s="13">
        <f t="shared" ref="G11:G33" si="1">D11-F11</f>
        <v>-5388</v>
      </c>
      <c r="H11" s="14">
        <f t="shared" ref="H11:H33" si="2">G11/F11*100</f>
        <v>-77.726485862665896</v>
      </c>
      <c r="I11" s="13">
        <v>5000</v>
      </c>
      <c r="J11" s="13">
        <f t="shared" ref="J11:J33" si="3">I11-D11</f>
        <v>3456</v>
      </c>
      <c r="K11" s="14">
        <f t="shared" ref="K11:K33" si="4">J11/D11*100</f>
        <v>223.83419689119171</v>
      </c>
    </row>
    <row r="12" spans="1:11" s="16" customFormat="1" ht="19.5" customHeight="1">
      <c r="A12" s="17" t="s">
        <v>19</v>
      </c>
      <c r="B12" s="13">
        <v>750</v>
      </c>
      <c r="C12" s="13">
        <v>500</v>
      </c>
      <c r="D12" s="13">
        <v>117</v>
      </c>
      <c r="E12" s="14">
        <f t="shared" si="0"/>
        <v>23.400000000000002</v>
      </c>
      <c r="F12" s="13">
        <f>237+500</f>
        <v>737</v>
      </c>
      <c r="G12" s="13">
        <f t="shared" si="1"/>
        <v>-620</v>
      </c>
      <c r="H12" s="14">
        <f t="shared" si="2"/>
        <v>-84.124830393487102</v>
      </c>
      <c r="I12" s="13">
        <v>600</v>
      </c>
      <c r="J12" s="13">
        <f t="shared" si="3"/>
        <v>483</v>
      </c>
      <c r="K12" s="14">
        <f t="shared" si="4"/>
        <v>412.82051282051287</v>
      </c>
    </row>
    <row r="13" spans="1:11" s="16" customFormat="1" ht="19.5" customHeight="1">
      <c r="A13" s="17" t="s">
        <v>20</v>
      </c>
      <c r="B13" s="13">
        <f>B14+B15+B16+B17+B18</f>
        <v>305000</v>
      </c>
      <c r="C13" s="13">
        <f>C14+C15+C16+C17+C18</f>
        <v>210000</v>
      </c>
      <c r="D13" s="13">
        <f>D14+D15+D16+D17+D18</f>
        <v>213638</v>
      </c>
      <c r="E13" s="14">
        <f t="shared" si="0"/>
        <v>101.73238095238095</v>
      </c>
      <c r="F13" s="13">
        <f>F14+F15+F16+F17+F18</f>
        <v>286114</v>
      </c>
      <c r="G13" s="13">
        <f t="shared" si="1"/>
        <v>-72476</v>
      </c>
      <c r="H13" s="14">
        <f t="shared" si="2"/>
        <v>-25.331161704775017</v>
      </c>
      <c r="I13" s="13">
        <f>I14+I15+I16+I17+I18</f>
        <v>326400</v>
      </c>
      <c r="J13" s="13">
        <f t="shared" si="3"/>
        <v>112762</v>
      </c>
      <c r="K13" s="14">
        <f t="shared" si="4"/>
        <v>52.781808479764834</v>
      </c>
    </row>
    <row r="14" spans="1:11" ht="19.5" customHeight="1">
      <c r="A14" s="18" t="s">
        <v>21</v>
      </c>
      <c r="B14" s="19">
        <v>215373</v>
      </c>
      <c r="C14" s="19">
        <f>115373-93000+100000+5680</f>
        <v>128053</v>
      </c>
      <c r="D14" s="19">
        <f>191104-7464</f>
        <v>183640</v>
      </c>
      <c r="E14" s="14">
        <f t="shared" si="0"/>
        <v>143.40936955791744</v>
      </c>
      <c r="F14" s="19">
        <f>139578+100902</f>
        <v>240480</v>
      </c>
      <c r="G14" s="13">
        <f t="shared" si="1"/>
        <v>-56840</v>
      </c>
      <c r="H14" s="14">
        <f t="shared" si="2"/>
        <v>-23.63606121091151</v>
      </c>
      <c r="I14" s="19">
        <f>67963+178000</f>
        <v>245963</v>
      </c>
      <c r="J14" s="13">
        <f t="shared" si="3"/>
        <v>62323</v>
      </c>
      <c r="K14" s="14">
        <f t="shared" si="4"/>
        <v>33.937595295142671</v>
      </c>
    </row>
    <row r="15" spans="1:11" ht="19.5" customHeight="1">
      <c r="A15" s="18" t="s">
        <v>22</v>
      </c>
      <c r="B15" s="19">
        <v>79390</v>
      </c>
      <c r="C15" s="19">
        <f>79390-2000</f>
        <v>77390</v>
      </c>
      <c r="D15" s="19">
        <v>26487</v>
      </c>
      <c r="E15" s="14">
        <f t="shared" si="0"/>
        <v>34.225352112676056</v>
      </c>
      <c r="F15" s="19">
        <v>49425</v>
      </c>
      <c r="G15" s="13">
        <f t="shared" si="1"/>
        <v>-22938</v>
      </c>
      <c r="H15" s="14">
        <f t="shared" si="2"/>
        <v>-46.409711684370258</v>
      </c>
      <c r="I15" s="19">
        <f>70000</f>
        <v>70000</v>
      </c>
      <c r="J15" s="13">
        <f t="shared" si="3"/>
        <v>43513</v>
      </c>
      <c r="K15" s="14">
        <f t="shared" si="4"/>
        <v>164.28059047834788</v>
      </c>
    </row>
    <row r="16" spans="1:11" ht="19.5" customHeight="1">
      <c r="A16" s="18" t="s">
        <v>23</v>
      </c>
      <c r="B16" s="19">
        <v>1000</v>
      </c>
      <c r="C16" s="19">
        <v>1000</v>
      </c>
      <c r="D16" s="19">
        <v>790</v>
      </c>
      <c r="E16" s="14">
        <f t="shared" si="0"/>
        <v>79</v>
      </c>
      <c r="F16" s="19">
        <f>959+133</f>
        <v>1092</v>
      </c>
      <c r="G16" s="13">
        <f t="shared" si="1"/>
        <v>-302</v>
      </c>
      <c r="H16" s="14">
        <f t="shared" si="2"/>
        <v>-27.655677655677657</v>
      </c>
      <c r="I16" s="19">
        <v>1000</v>
      </c>
      <c r="J16" s="13">
        <f t="shared" si="3"/>
        <v>210</v>
      </c>
      <c r="K16" s="14">
        <f t="shared" si="4"/>
        <v>26.582278481012654</v>
      </c>
    </row>
    <row r="17" spans="1:11" ht="19.5" customHeight="1">
      <c r="A17" s="18" t="s">
        <v>24</v>
      </c>
      <c r="B17" s="19">
        <v>5680</v>
      </c>
      <c r="C17" s="19">
        <v>0</v>
      </c>
      <c r="D17" s="19">
        <v>0</v>
      </c>
      <c r="E17" s="14"/>
      <c r="F17" s="19">
        <f>-4552-6742</f>
        <v>-11294</v>
      </c>
      <c r="G17" s="13">
        <f t="shared" si="1"/>
        <v>11294</v>
      </c>
      <c r="H17" s="14">
        <f t="shared" si="2"/>
        <v>-100</v>
      </c>
      <c r="I17" s="19">
        <f>5880</f>
        <v>5880</v>
      </c>
      <c r="J17" s="13">
        <f t="shared" si="3"/>
        <v>5880</v>
      </c>
      <c r="K17" s="14"/>
    </row>
    <row r="18" spans="1:11" ht="19.5" customHeight="1">
      <c r="A18" s="18" t="s">
        <v>25</v>
      </c>
      <c r="B18" s="19">
        <v>3557</v>
      </c>
      <c r="C18" s="19">
        <v>3557</v>
      </c>
      <c r="D18" s="19">
        <v>2721</v>
      </c>
      <c r="E18" s="14">
        <f t="shared" si="0"/>
        <v>76.497048074219848</v>
      </c>
      <c r="F18" s="19">
        <v>6411</v>
      </c>
      <c r="G18" s="13">
        <f t="shared" si="1"/>
        <v>-3690</v>
      </c>
      <c r="H18" s="14">
        <f t="shared" si="2"/>
        <v>-57.557323350491338</v>
      </c>
      <c r="I18" s="19">
        <v>3557</v>
      </c>
      <c r="J18" s="13">
        <f t="shared" si="3"/>
        <v>836</v>
      </c>
      <c r="K18" s="14">
        <f t="shared" si="4"/>
        <v>30.723998529952222</v>
      </c>
    </row>
    <row r="19" spans="1:11" s="16" customFormat="1" ht="19.5" customHeight="1">
      <c r="A19" s="17" t="s">
        <v>26</v>
      </c>
      <c r="B19" s="13"/>
      <c r="C19" s="13"/>
      <c r="D19" s="13"/>
      <c r="E19" s="14"/>
      <c r="F19" s="15"/>
      <c r="G19" s="13"/>
      <c r="H19" s="14"/>
      <c r="I19" s="13"/>
      <c r="J19" s="13"/>
      <c r="K19" s="14"/>
    </row>
    <row r="20" spans="1:11" s="16" customFormat="1" ht="19.5" customHeight="1">
      <c r="A20" s="17" t="s">
        <v>27</v>
      </c>
      <c r="B20" s="13"/>
      <c r="C20" s="13"/>
      <c r="D20" s="13"/>
      <c r="E20" s="14"/>
      <c r="F20" s="13"/>
      <c r="G20" s="13"/>
      <c r="H20" s="14"/>
      <c r="I20" s="13"/>
      <c r="J20" s="13"/>
      <c r="K20" s="14"/>
    </row>
    <row r="21" spans="1:11" ht="19.5" hidden="1" customHeight="1">
      <c r="A21" s="18" t="s">
        <v>28</v>
      </c>
      <c r="B21" s="19"/>
      <c r="C21" s="19"/>
      <c r="D21" s="19"/>
      <c r="E21" s="14"/>
      <c r="F21" s="20"/>
      <c r="G21" s="13"/>
      <c r="H21" s="14"/>
      <c r="I21" s="19"/>
      <c r="J21" s="13"/>
      <c r="K21" s="14"/>
    </row>
    <row r="22" spans="1:11" ht="19.5" hidden="1" customHeight="1">
      <c r="A22" s="18" t="s">
        <v>29</v>
      </c>
      <c r="B22" s="19"/>
      <c r="C22" s="19"/>
      <c r="D22" s="19"/>
      <c r="E22" s="14"/>
      <c r="F22" s="20"/>
      <c r="G22" s="13"/>
      <c r="H22" s="14"/>
      <c r="I22" s="19"/>
      <c r="J22" s="13"/>
      <c r="K22" s="14"/>
    </row>
    <row r="23" spans="1:11" s="16" customFormat="1" ht="19.5" customHeight="1">
      <c r="A23" s="17" t="s">
        <v>30</v>
      </c>
      <c r="B23" s="13">
        <v>4450</v>
      </c>
      <c r="C23" s="13">
        <f>4450+2000</f>
        <v>6450</v>
      </c>
      <c r="D23" s="13">
        <v>8267</v>
      </c>
      <c r="E23" s="14">
        <f t="shared" si="0"/>
        <v>128.17054263565893</v>
      </c>
      <c r="F23" s="13">
        <f>4214+917</f>
        <v>5131</v>
      </c>
      <c r="G23" s="13">
        <f t="shared" si="1"/>
        <v>3136</v>
      </c>
      <c r="H23" s="14">
        <f t="shared" si="2"/>
        <v>61.118690313778991</v>
      </c>
      <c r="I23" s="13">
        <v>3000</v>
      </c>
      <c r="J23" s="13">
        <f t="shared" si="3"/>
        <v>-5267</v>
      </c>
      <c r="K23" s="14">
        <f t="shared" si="4"/>
        <v>-63.711140679811294</v>
      </c>
    </row>
    <row r="24" spans="1:11" s="16" customFormat="1" ht="19.5" customHeight="1">
      <c r="A24" s="17" t="s">
        <v>31</v>
      </c>
      <c r="B24" s="13"/>
      <c r="C24" s="13"/>
      <c r="D24" s="13"/>
      <c r="E24" s="14"/>
      <c r="F24" s="13"/>
      <c r="G24" s="13"/>
      <c r="H24" s="14"/>
      <c r="I24" s="13"/>
      <c r="J24" s="13"/>
      <c r="K24" s="14"/>
    </row>
    <row r="25" spans="1:11" s="16" customFormat="1" ht="19.5" customHeight="1">
      <c r="A25" s="17" t="s">
        <v>32</v>
      </c>
      <c r="B25" s="13"/>
      <c r="C25" s="13"/>
      <c r="D25" s="13"/>
      <c r="E25" s="14"/>
      <c r="F25" s="13"/>
      <c r="G25" s="13"/>
      <c r="H25" s="14"/>
      <c r="I25" s="13"/>
      <c r="J25" s="13"/>
      <c r="K25" s="14"/>
    </row>
    <row r="26" spans="1:11" s="16" customFormat="1" ht="19.5" customHeight="1">
      <c r="A26" s="17" t="s">
        <v>33</v>
      </c>
      <c r="B26" s="13"/>
      <c r="C26" s="13"/>
      <c r="D26" s="13"/>
      <c r="E26" s="14"/>
      <c r="F26" s="13"/>
      <c r="G26" s="13"/>
      <c r="H26" s="14"/>
      <c r="I26" s="13"/>
      <c r="J26" s="13"/>
      <c r="K26" s="14"/>
    </row>
    <row r="27" spans="1:11" s="16" customFormat="1" ht="19.5" customHeight="1">
      <c r="A27" s="17" t="s">
        <v>34</v>
      </c>
      <c r="B27" s="13">
        <v>3300</v>
      </c>
      <c r="C27" s="13">
        <v>5300</v>
      </c>
      <c r="D27" s="13">
        <v>3707</v>
      </c>
      <c r="E27" s="14">
        <f t="shared" si="0"/>
        <v>69.943396226415089</v>
      </c>
      <c r="F27" s="13">
        <v>4643</v>
      </c>
      <c r="G27" s="13">
        <f t="shared" si="1"/>
        <v>-936</v>
      </c>
      <c r="H27" s="14">
        <f t="shared" si="2"/>
        <v>-20.159379711393495</v>
      </c>
      <c r="I27" s="13">
        <v>6000</v>
      </c>
      <c r="J27" s="13">
        <f t="shared" si="3"/>
        <v>2293</v>
      </c>
      <c r="K27" s="14">
        <f t="shared" si="4"/>
        <v>61.855948206096578</v>
      </c>
    </row>
    <row r="28" spans="1:11" s="16" customFormat="1" ht="19.5" customHeight="1">
      <c r="A28" s="17" t="s">
        <v>35</v>
      </c>
      <c r="B28" s="13"/>
      <c r="C28" s="13"/>
      <c r="D28" s="13"/>
      <c r="E28" s="14"/>
      <c r="F28" s="13"/>
      <c r="G28" s="13"/>
      <c r="H28" s="14"/>
      <c r="I28" s="13"/>
      <c r="J28" s="13"/>
      <c r="K28" s="14"/>
    </row>
    <row r="29" spans="1:11" ht="19.5" hidden="1" customHeight="1">
      <c r="A29" s="18" t="s">
        <v>36</v>
      </c>
      <c r="B29" s="19"/>
      <c r="C29" s="19"/>
      <c r="D29" s="19"/>
      <c r="E29" s="14"/>
      <c r="F29" s="20"/>
      <c r="G29" s="13"/>
      <c r="H29" s="14"/>
      <c r="I29" s="19"/>
      <c r="J29" s="13"/>
      <c r="K29" s="14"/>
    </row>
    <row r="30" spans="1:11" ht="19.5" hidden="1" customHeight="1">
      <c r="A30" s="18" t="s">
        <v>37</v>
      </c>
      <c r="B30" s="19"/>
      <c r="C30" s="19"/>
      <c r="D30" s="19"/>
      <c r="E30" s="14"/>
      <c r="F30" s="20"/>
      <c r="G30" s="13"/>
      <c r="H30" s="14"/>
      <c r="I30" s="19"/>
      <c r="J30" s="13"/>
      <c r="K30" s="14"/>
    </row>
    <row r="31" spans="1:11" s="16" customFormat="1" ht="19.5" customHeight="1">
      <c r="A31" s="17" t="s">
        <v>38</v>
      </c>
      <c r="B31" s="13">
        <f>1000+142+150</f>
        <v>1292</v>
      </c>
      <c r="C31" s="13">
        <f>1000+150+120+260</f>
        <v>1530</v>
      </c>
      <c r="D31" s="13">
        <v>847</v>
      </c>
      <c r="E31" s="14">
        <f t="shared" si="0"/>
        <v>55.359477124183009</v>
      </c>
      <c r="F31" s="13">
        <f>1028+290+194+405</f>
        <v>1917</v>
      </c>
      <c r="G31" s="13">
        <f t="shared" si="1"/>
        <v>-1070</v>
      </c>
      <c r="H31" s="14">
        <f t="shared" si="2"/>
        <v>-55.816379760041734</v>
      </c>
      <c r="I31" s="13"/>
      <c r="J31" s="13">
        <f t="shared" si="3"/>
        <v>-847</v>
      </c>
      <c r="K31" s="14">
        <f t="shared" si="4"/>
        <v>-100</v>
      </c>
    </row>
    <row r="32" spans="1:11" s="16" customFormat="1" ht="19.5" customHeight="1">
      <c r="A32" s="17" t="s">
        <v>39</v>
      </c>
      <c r="B32" s="13"/>
      <c r="C32" s="13"/>
      <c r="D32" s="13"/>
      <c r="E32" s="14"/>
      <c r="F32" s="13"/>
      <c r="G32" s="13"/>
      <c r="H32" s="14"/>
      <c r="I32" s="13"/>
      <c r="J32" s="13"/>
      <c r="K32" s="14"/>
    </row>
    <row r="33" spans="1:11" s="16" customFormat="1" ht="19.5" customHeight="1">
      <c r="A33" s="21" t="s">
        <v>40</v>
      </c>
      <c r="B33" s="13">
        <f>B7+B8+B9+B10+B11+B12+B13+B19+B20+B23+B24+B25+B26+B27+B28+B31+B32</f>
        <v>320992</v>
      </c>
      <c r="C33" s="13">
        <f t="shared" ref="C33:I33" si="5">C7+C8+C9+C10+C11+C12+C13+C19+C20+C23+C24+C25+C26+C27+C28+C31+C32</f>
        <v>227280</v>
      </c>
      <c r="D33" s="13">
        <f t="shared" si="5"/>
        <v>228120</v>
      </c>
      <c r="E33" s="14">
        <f t="shared" si="0"/>
        <v>100.36958817317844</v>
      </c>
      <c r="F33" s="13">
        <f t="shared" si="5"/>
        <v>305474</v>
      </c>
      <c r="G33" s="13">
        <f t="shared" si="1"/>
        <v>-77354</v>
      </c>
      <c r="H33" s="14">
        <f t="shared" si="2"/>
        <v>-25.322613381171553</v>
      </c>
      <c r="I33" s="13">
        <f t="shared" si="5"/>
        <v>341000</v>
      </c>
      <c r="J33" s="13">
        <f t="shared" si="3"/>
        <v>112880</v>
      </c>
      <c r="K33" s="14">
        <f t="shared" si="4"/>
        <v>49.482728388567423</v>
      </c>
    </row>
    <row r="34" spans="1:11" s="16" customFormat="1" ht="19.5" customHeight="1">
      <c r="A34" s="21" t="s">
        <v>41</v>
      </c>
      <c r="B34" s="13">
        <f>SUM(B35:B39)</f>
        <v>62684.5</v>
      </c>
      <c r="C34" s="13">
        <f>SUM(C35:C39)</f>
        <v>137460</v>
      </c>
      <c r="D34" s="13">
        <f>SUM(D35:D39)</f>
        <v>134898</v>
      </c>
      <c r="E34" s="14"/>
      <c r="F34" s="13"/>
      <c r="G34" s="13"/>
      <c r="H34" s="14"/>
      <c r="I34" s="13">
        <f>I35+I36+I37+I38+I39</f>
        <v>63230</v>
      </c>
      <c r="J34" s="13"/>
      <c r="K34" s="14"/>
    </row>
    <row r="35" spans="1:11" ht="19.5" customHeight="1">
      <c r="A35" s="22" t="s">
        <v>42</v>
      </c>
      <c r="B35" s="19">
        <v>7391</v>
      </c>
      <c r="C35" s="19">
        <f>2279+7014</f>
        <v>9293</v>
      </c>
      <c r="D35" s="19">
        <v>11731</v>
      </c>
      <c r="E35" s="23"/>
      <c r="F35" s="24"/>
      <c r="G35" s="13"/>
      <c r="H35" s="23"/>
      <c r="I35" s="19">
        <v>3563</v>
      </c>
      <c r="J35" s="13"/>
      <c r="K35" s="23"/>
    </row>
    <row r="36" spans="1:11" ht="19.5" customHeight="1">
      <c r="A36" s="22" t="s">
        <v>43</v>
      </c>
      <c r="B36" s="19">
        <v>5000</v>
      </c>
      <c r="C36" s="19">
        <v>5000</v>
      </c>
      <c r="D36" s="19">
        <v>0</v>
      </c>
      <c r="E36" s="23"/>
      <c r="F36" s="24"/>
      <c r="G36" s="13"/>
      <c r="H36" s="23"/>
      <c r="I36" s="19">
        <v>5000</v>
      </c>
      <c r="J36" s="13"/>
      <c r="K36" s="23"/>
    </row>
    <row r="37" spans="1:11" ht="19.5" customHeight="1">
      <c r="A37" s="22" t="s">
        <v>44</v>
      </c>
      <c r="B37" s="19">
        <v>3208.5</v>
      </c>
      <c r="C37" s="19">
        <f>33854+3560</f>
        <v>37414</v>
      </c>
      <c r="D37" s="19">
        <v>37414</v>
      </c>
      <c r="E37" s="23"/>
      <c r="F37" s="24"/>
      <c r="G37" s="13"/>
      <c r="H37" s="23"/>
      <c r="I37" s="19">
        <v>8600</v>
      </c>
      <c r="J37" s="13"/>
      <c r="K37" s="23"/>
    </row>
    <row r="38" spans="1:11" ht="19.5" customHeight="1">
      <c r="A38" s="22" t="s">
        <v>45</v>
      </c>
      <c r="B38" s="19"/>
      <c r="C38" s="19">
        <v>586</v>
      </c>
      <c r="D38" s="19">
        <v>586</v>
      </c>
      <c r="E38" s="23"/>
      <c r="F38" s="24"/>
      <c r="G38" s="13"/>
      <c r="H38" s="23"/>
      <c r="I38" s="19">
        <v>350</v>
      </c>
      <c r="J38" s="13"/>
      <c r="K38" s="23"/>
    </row>
    <row r="39" spans="1:11" ht="19.5" customHeight="1">
      <c r="A39" s="22" t="s">
        <v>46</v>
      </c>
      <c r="B39" s="19">
        <f>B40+B41</f>
        <v>47085</v>
      </c>
      <c r="C39" s="19">
        <f>C40+C41</f>
        <v>85167</v>
      </c>
      <c r="D39" s="19">
        <f>D40+D41</f>
        <v>85167</v>
      </c>
      <c r="E39" s="19"/>
      <c r="F39" s="19"/>
      <c r="G39" s="19"/>
      <c r="H39" s="19"/>
      <c r="I39" s="19">
        <f>I40+I41</f>
        <v>45717</v>
      </c>
      <c r="J39" s="13"/>
      <c r="K39" s="23"/>
    </row>
    <row r="40" spans="1:11" ht="19.5" customHeight="1">
      <c r="A40" s="22" t="s">
        <v>47</v>
      </c>
      <c r="B40" s="19"/>
      <c r="C40" s="19">
        <v>25000</v>
      </c>
      <c r="D40" s="19">
        <v>25000</v>
      </c>
      <c r="E40" s="23"/>
      <c r="F40" s="24"/>
      <c r="G40" s="13"/>
      <c r="H40" s="23"/>
      <c r="I40" s="19"/>
      <c r="J40" s="13"/>
      <c r="K40" s="23"/>
    </row>
    <row r="41" spans="1:11" ht="19.5" customHeight="1">
      <c r="A41" s="22" t="s">
        <v>48</v>
      </c>
      <c r="B41" s="19">
        <v>47085</v>
      </c>
      <c r="C41" s="19">
        <v>60167</v>
      </c>
      <c r="D41" s="19">
        <v>60167</v>
      </c>
      <c r="E41" s="23"/>
      <c r="F41" s="24"/>
      <c r="G41" s="13"/>
      <c r="H41" s="23"/>
      <c r="I41" s="19">
        <v>45717</v>
      </c>
      <c r="J41" s="13"/>
      <c r="K41" s="23"/>
    </row>
    <row r="42" spans="1:11" s="16" customFormat="1" ht="19.5" customHeight="1">
      <c r="A42" s="21" t="s">
        <v>49</v>
      </c>
      <c r="B42" s="13">
        <f>B33+B34</f>
        <v>383676.5</v>
      </c>
      <c r="C42" s="13">
        <f>C33+C34</f>
        <v>364740</v>
      </c>
      <c r="D42" s="13">
        <f>D33+D34</f>
        <v>363018</v>
      </c>
      <c r="E42" s="14"/>
      <c r="F42" s="15"/>
      <c r="G42" s="13"/>
      <c r="H42" s="14"/>
      <c r="I42" s="13">
        <f>I33+I34</f>
        <v>404230</v>
      </c>
      <c r="J42" s="13"/>
      <c r="K42" s="14"/>
    </row>
    <row r="43" spans="1:11">
      <c r="D43" s="26"/>
    </row>
    <row r="44" spans="1:11">
      <c r="D44" s="26"/>
    </row>
    <row r="45" spans="1:11">
      <c r="D45" s="26"/>
    </row>
    <row r="46" spans="1:11">
      <c r="A46" s="6"/>
      <c r="D46" s="26"/>
    </row>
    <row r="47" spans="1:11">
      <c r="A47" s="6"/>
      <c r="D47" s="26"/>
    </row>
    <row r="48" spans="1:11">
      <c r="A48" s="6"/>
      <c r="D48" s="26"/>
    </row>
    <row r="49" spans="1:4">
      <c r="A49" s="6"/>
      <c r="D49" s="26"/>
    </row>
    <row r="50" spans="1:4">
      <c r="A50" s="6"/>
      <c r="D50" s="26"/>
    </row>
    <row r="162" spans="1:1">
      <c r="A162" s="27"/>
    </row>
  </sheetData>
  <mergeCells count="12">
    <mergeCell ref="J5:K5"/>
    <mergeCell ref="A2:K2"/>
    <mergeCell ref="A4:A6"/>
    <mergeCell ref="B4:H4"/>
    <mergeCell ref="I4:K4"/>
    <mergeCell ref="B5:B6"/>
    <mergeCell ref="C5:C6"/>
    <mergeCell ref="D5:D6"/>
    <mergeCell ref="E5:E6"/>
    <mergeCell ref="F5:F6"/>
    <mergeCell ref="G5:H5"/>
    <mergeCell ref="I5:I6"/>
  </mergeCells>
  <phoneticPr fontId="2" type="noConversion"/>
  <printOptions horizontalCentered="1"/>
  <pageMargins left="0.17" right="0.17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K162"/>
  <sheetViews>
    <sheetView workbookViewId="0">
      <selection activeCell="L21" sqref="L21"/>
    </sheetView>
  </sheetViews>
  <sheetFormatPr defaultRowHeight="14.25"/>
  <cols>
    <col min="1" max="1" width="54.5" style="29" customWidth="1"/>
    <col min="2" max="2" width="11.875" style="7" customWidth="1"/>
    <col min="3" max="3" width="11.375" style="7" customWidth="1"/>
    <col min="4" max="4" width="13.5" style="7" customWidth="1"/>
    <col min="5" max="5" width="9.875" style="7" customWidth="1"/>
    <col min="6" max="6" width="14.25" style="7" hidden="1" customWidth="1"/>
    <col min="7" max="7" width="11.625" style="7" customWidth="1"/>
    <col min="8" max="8" width="8.875" style="7" customWidth="1"/>
    <col min="9" max="9" width="12.125" style="7" customWidth="1"/>
    <col min="10" max="10" width="11.375" style="7" customWidth="1"/>
    <col min="11" max="11" width="12" style="7" customWidth="1"/>
    <col min="12" max="16384" width="9" style="7"/>
  </cols>
  <sheetData>
    <row r="1" spans="1:11" s="5" customFormat="1" ht="26.25" customHeight="1">
      <c r="A1" s="28" t="s">
        <v>50</v>
      </c>
      <c r="B1" s="2"/>
      <c r="C1" s="3"/>
      <c r="D1" s="4"/>
      <c r="E1" s="4"/>
      <c r="F1" s="4"/>
      <c r="G1" s="4"/>
      <c r="H1" s="2"/>
      <c r="I1" s="4"/>
      <c r="J1" s="4"/>
    </row>
    <row r="2" spans="1:11" ht="35.25" customHeight="1">
      <c r="A2" s="56" t="s">
        <v>180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8" customHeight="1">
      <c r="K3" s="8" t="s">
        <v>51</v>
      </c>
    </row>
    <row r="4" spans="1:11" s="30" customFormat="1" ht="18" customHeight="1">
      <c r="A4" s="55" t="s">
        <v>52</v>
      </c>
      <c r="B4" s="60" t="s">
        <v>53</v>
      </c>
      <c r="C4" s="60"/>
      <c r="D4" s="60"/>
      <c r="E4" s="60"/>
      <c r="F4" s="60"/>
      <c r="G4" s="60"/>
      <c r="H4" s="60"/>
      <c r="I4" s="60" t="s">
        <v>54</v>
      </c>
      <c r="J4" s="60"/>
      <c r="K4" s="60"/>
    </row>
    <row r="5" spans="1:11" s="30" customFormat="1" ht="18" customHeight="1">
      <c r="A5" s="55"/>
      <c r="B5" s="61" t="s">
        <v>55</v>
      </c>
      <c r="C5" s="55" t="s">
        <v>56</v>
      </c>
      <c r="D5" s="60" t="s">
        <v>175</v>
      </c>
      <c r="E5" s="55" t="s">
        <v>57</v>
      </c>
      <c r="F5" s="62" t="s">
        <v>58</v>
      </c>
      <c r="G5" s="60" t="s">
        <v>59</v>
      </c>
      <c r="H5" s="60"/>
      <c r="I5" s="60" t="s">
        <v>60</v>
      </c>
      <c r="J5" s="55" t="s">
        <v>61</v>
      </c>
      <c r="K5" s="55"/>
    </row>
    <row r="6" spans="1:11" s="30" customFormat="1" ht="18" customHeight="1">
      <c r="A6" s="55"/>
      <c r="B6" s="61"/>
      <c r="C6" s="55"/>
      <c r="D6" s="60"/>
      <c r="E6" s="55"/>
      <c r="F6" s="63"/>
      <c r="G6" s="10" t="s">
        <v>62</v>
      </c>
      <c r="H6" s="10" t="s">
        <v>63</v>
      </c>
      <c r="I6" s="60"/>
      <c r="J6" s="10" t="s">
        <v>62</v>
      </c>
      <c r="K6" s="10" t="s">
        <v>63</v>
      </c>
    </row>
    <row r="7" spans="1:11" s="33" customFormat="1" ht="18" customHeight="1">
      <c r="A7" s="31" t="s">
        <v>64</v>
      </c>
      <c r="B7" s="13"/>
      <c r="C7" s="32"/>
      <c r="D7" s="13"/>
      <c r="E7" s="14"/>
      <c r="F7" s="13"/>
      <c r="G7" s="13"/>
      <c r="H7" s="14"/>
      <c r="I7" s="13"/>
      <c r="J7" s="13"/>
      <c r="K7" s="14"/>
    </row>
    <row r="8" spans="1:11" s="30" customFormat="1" ht="18" hidden="1" customHeight="1">
      <c r="A8" s="34" t="s">
        <v>65</v>
      </c>
      <c r="B8" s="19"/>
      <c r="C8" s="35"/>
      <c r="D8" s="19"/>
      <c r="E8" s="14"/>
      <c r="F8" s="19"/>
      <c r="G8" s="19"/>
      <c r="H8" s="14"/>
      <c r="I8" s="19"/>
      <c r="J8" s="13"/>
      <c r="K8" s="14"/>
    </row>
    <row r="9" spans="1:11" s="33" customFormat="1" ht="18" customHeight="1">
      <c r="A9" s="31" t="s">
        <v>66</v>
      </c>
      <c r="B9" s="13"/>
      <c r="C9" s="13">
        <v>221</v>
      </c>
      <c r="D9" s="13">
        <v>221</v>
      </c>
      <c r="E9" s="14">
        <f t="shared" ref="E9:E49" si="0">D9/C9*100</f>
        <v>100</v>
      </c>
      <c r="F9" s="13"/>
      <c r="G9" s="13"/>
      <c r="H9" s="14"/>
      <c r="I9" s="13"/>
      <c r="J9" s="13"/>
      <c r="K9" s="14"/>
    </row>
    <row r="10" spans="1:11" s="30" customFormat="1" ht="18" hidden="1" customHeight="1">
      <c r="A10" s="34" t="s">
        <v>67</v>
      </c>
      <c r="B10" s="19"/>
      <c r="C10" s="35"/>
      <c r="D10" s="19"/>
      <c r="E10" s="14" t="e">
        <f t="shared" si="0"/>
        <v>#DIV/0!</v>
      </c>
      <c r="F10" s="19"/>
      <c r="G10" s="19">
        <f t="shared" ref="G10:G48" si="1">D10-F10</f>
        <v>0</v>
      </c>
      <c r="H10" s="14" t="e">
        <f t="shared" ref="H10:H49" si="2">G10/F10*100</f>
        <v>#DIV/0!</v>
      </c>
      <c r="I10" s="19"/>
      <c r="J10" s="13">
        <f>I10-D10</f>
        <v>0</v>
      </c>
      <c r="K10" s="14" t="e">
        <f t="shared" ref="K10:K49" si="3">J10/B10*100</f>
        <v>#DIV/0!</v>
      </c>
    </row>
    <row r="11" spans="1:11" s="33" customFormat="1" ht="18" customHeight="1">
      <c r="A11" s="31" t="s">
        <v>68</v>
      </c>
      <c r="B11" s="13">
        <f>B12+B13</f>
        <v>20</v>
      </c>
      <c r="C11" s="13">
        <f>C12+C13</f>
        <v>25</v>
      </c>
      <c r="D11" s="13">
        <f>D12+D13</f>
        <v>23</v>
      </c>
      <c r="E11" s="14">
        <f t="shared" si="0"/>
        <v>92</v>
      </c>
      <c r="F11" s="13">
        <f>F12+F13</f>
        <v>20</v>
      </c>
      <c r="G11" s="13">
        <f>G12+G13</f>
        <v>3</v>
      </c>
      <c r="H11" s="14">
        <f t="shared" si="2"/>
        <v>15</v>
      </c>
      <c r="I11" s="13">
        <f>I12+I13</f>
        <v>0</v>
      </c>
      <c r="J11" s="13">
        <f>I11-B11</f>
        <v>-20</v>
      </c>
      <c r="K11" s="14">
        <f t="shared" si="3"/>
        <v>-100</v>
      </c>
    </row>
    <row r="12" spans="1:11" s="30" customFormat="1" ht="18" customHeight="1">
      <c r="A12" s="34" t="s">
        <v>69</v>
      </c>
      <c r="B12" s="19">
        <v>20</v>
      </c>
      <c r="C12" s="35">
        <v>25</v>
      </c>
      <c r="D12" s="35">
        <v>23</v>
      </c>
      <c r="E12" s="14">
        <f t="shared" si="0"/>
        <v>92</v>
      </c>
      <c r="F12" s="19">
        <v>20</v>
      </c>
      <c r="G12" s="19">
        <f>D12-F12</f>
        <v>3</v>
      </c>
      <c r="H12" s="14">
        <f t="shared" si="2"/>
        <v>15</v>
      </c>
      <c r="I12" s="19"/>
      <c r="J12" s="13">
        <f t="shared" ref="J12:J49" si="4">I12-B12</f>
        <v>-20</v>
      </c>
      <c r="K12" s="14">
        <f t="shared" si="3"/>
        <v>-100</v>
      </c>
    </row>
    <row r="13" spans="1:11" s="30" customFormat="1" ht="18" customHeight="1">
      <c r="A13" s="34" t="s">
        <v>70</v>
      </c>
      <c r="B13" s="19"/>
      <c r="C13" s="35"/>
      <c r="D13" s="19"/>
      <c r="E13" s="14"/>
      <c r="F13" s="19"/>
      <c r="G13" s="19"/>
      <c r="H13" s="14"/>
      <c r="I13" s="19"/>
      <c r="J13" s="13">
        <f t="shared" si="4"/>
        <v>0</v>
      </c>
      <c r="K13" s="14"/>
    </row>
    <row r="14" spans="1:11" s="33" customFormat="1" ht="18" customHeight="1">
      <c r="A14" s="31" t="s">
        <v>71</v>
      </c>
      <c r="B14" s="13"/>
      <c r="C14" s="32"/>
      <c r="D14" s="13"/>
      <c r="E14" s="14"/>
      <c r="F14" s="13"/>
      <c r="G14" s="13"/>
      <c r="H14" s="14"/>
      <c r="I14" s="13"/>
      <c r="J14" s="13">
        <f t="shared" si="4"/>
        <v>0</v>
      </c>
      <c r="K14" s="14"/>
    </row>
    <row r="15" spans="1:11" s="33" customFormat="1" ht="18" hidden="1" customHeight="1">
      <c r="A15" s="34" t="s">
        <v>72</v>
      </c>
      <c r="B15" s="13"/>
      <c r="C15" s="32"/>
      <c r="D15" s="13"/>
      <c r="E15" s="14"/>
      <c r="F15" s="13"/>
      <c r="G15" s="19"/>
      <c r="H15" s="14"/>
      <c r="I15" s="13"/>
      <c r="J15" s="13">
        <f t="shared" si="4"/>
        <v>0</v>
      </c>
      <c r="K15" s="14"/>
    </row>
    <row r="16" spans="1:11" s="30" customFormat="1" ht="18" hidden="1" customHeight="1">
      <c r="A16" s="34" t="s">
        <v>73</v>
      </c>
      <c r="B16" s="19"/>
      <c r="C16" s="35"/>
      <c r="D16" s="19"/>
      <c r="E16" s="14"/>
      <c r="F16" s="19"/>
      <c r="G16" s="19"/>
      <c r="H16" s="14"/>
      <c r="I16" s="19"/>
      <c r="J16" s="13">
        <f t="shared" si="4"/>
        <v>0</v>
      </c>
      <c r="K16" s="14"/>
    </row>
    <row r="17" spans="1:11" s="33" customFormat="1" ht="18" customHeight="1">
      <c r="A17" s="31" t="s">
        <v>74</v>
      </c>
      <c r="B17" s="13">
        <f>SUM(B18:B22)</f>
        <v>322731.5</v>
      </c>
      <c r="C17" s="13">
        <f>SUM(C18:C22)</f>
        <v>277809</v>
      </c>
      <c r="D17" s="13">
        <f>SUM(D18:D22)</f>
        <v>188750</v>
      </c>
      <c r="E17" s="14">
        <f t="shared" si="0"/>
        <v>67.942363278367509</v>
      </c>
      <c r="F17" s="13">
        <f>SUM(F18:F22)</f>
        <v>229860</v>
      </c>
      <c r="G17" s="13">
        <f>SUM(G18:G22)</f>
        <v>-41110</v>
      </c>
      <c r="H17" s="14">
        <f t="shared" si="2"/>
        <v>-17.8847994431393</v>
      </c>
      <c r="I17" s="13">
        <f>SUM(I18:I22)</f>
        <v>342400</v>
      </c>
      <c r="J17" s="13">
        <f t="shared" si="4"/>
        <v>19668.5</v>
      </c>
      <c r="K17" s="14">
        <f t="shared" si="3"/>
        <v>6.0943849608730476</v>
      </c>
    </row>
    <row r="18" spans="1:11" s="30" customFormat="1" ht="18" customHeight="1">
      <c r="A18" s="34" t="s">
        <v>75</v>
      </c>
      <c r="B18" s="19">
        <f>1000+201091+105113-0.5</f>
        <v>307203.5</v>
      </c>
      <c r="C18" s="35">
        <f>151279+2021+110574-415-5158</f>
        <v>258301</v>
      </c>
      <c r="D18" s="35">
        <f>170949+1759-172</f>
        <v>172536</v>
      </c>
      <c r="E18" s="14">
        <f t="shared" si="0"/>
        <v>66.796489367056267</v>
      </c>
      <c r="F18" s="19">
        <f>217998+1058+560</f>
        <v>219616</v>
      </c>
      <c r="G18" s="19">
        <f t="shared" si="1"/>
        <v>-47080</v>
      </c>
      <c r="H18" s="14">
        <f t="shared" si="2"/>
        <v>-21.437418038758558</v>
      </c>
      <c r="I18" s="19">
        <v>327800</v>
      </c>
      <c r="J18" s="13">
        <f t="shared" si="4"/>
        <v>20596.5</v>
      </c>
      <c r="K18" s="14">
        <f t="shared" si="3"/>
        <v>6.7045134576917258</v>
      </c>
    </row>
    <row r="19" spans="1:11" s="30" customFormat="1" ht="18" customHeight="1">
      <c r="A19" s="34" t="s">
        <v>76</v>
      </c>
      <c r="B19" s="19">
        <v>6200</v>
      </c>
      <c r="C19" s="35">
        <v>3500</v>
      </c>
      <c r="D19" s="35">
        <v>2276</v>
      </c>
      <c r="E19" s="14">
        <f t="shared" si="0"/>
        <v>65.028571428571425</v>
      </c>
      <c r="F19" s="19">
        <v>2241</v>
      </c>
      <c r="G19" s="19">
        <f t="shared" si="1"/>
        <v>35</v>
      </c>
      <c r="H19" s="14">
        <f t="shared" si="2"/>
        <v>1.5618027666220438</v>
      </c>
      <c r="I19" s="19">
        <v>5000</v>
      </c>
      <c r="J19" s="13">
        <f t="shared" si="4"/>
        <v>-1200</v>
      </c>
      <c r="K19" s="14">
        <f t="shared" si="3"/>
        <v>-19.35483870967742</v>
      </c>
    </row>
    <row r="20" spans="1:11" s="30" customFormat="1" ht="18" customHeight="1">
      <c r="A20" s="34" t="s">
        <v>77</v>
      </c>
      <c r="B20" s="19">
        <v>750</v>
      </c>
      <c r="C20" s="35">
        <v>1750</v>
      </c>
      <c r="D20" s="35">
        <v>1365</v>
      </c>
      <c r="E20" s="14">
        <f t="shared" si="0"/>
        <v>78</v>
      </c>
      <c r="F20" s="19">
        <v>300</v>
      </c>
      <c r="G20" s="19">
        <f t="shared" si="1"/>
        <v>1065</v>
      </c>
      <c r="H20" s="14">
        <f t="shared" si="2"/>
        <v>355</v>
      </c>
      <c r="I20" s="19">
        <v>600</v>
      </c>
      <c r="J20" s="13">
        <f t="shared" si="4"/>
        <v>-150</v>
      </c>
      <c r="K20" s="14">
        <f t="shared" si="3"/>
        <v>-20</v>
      </c>
    </row>
    <row r="21" spans="1:11" s="30" customFormat="1" ht="18" customHeight="1">
      <c r="A21" s="34" t="s">
        <v>78</v>
      </c>
      <c r="B21" s="19">
        <v>4958</v>
      </c>
      <c r="C21" s="35">
        <v>8958</v>
      </c>
      <c r="D21" s="35">
        <v>8366</v>
      </c>
      <c r="E21" s="14">
        <f t="shared" si="0"/>
        <v>93.391382004911819</v>
      </c>
      <c r="F21" s="19">
        <v>4047</v>
      </c>
      <c r="G21" s="19">
        <f t="shared" si="1"/>
        <v>4319</v>
      </c>
      <c r="H21" s="14">
        <f t="shared" si="2"/>
        <v>106.72102792191747</v>
      </c>
      <c r="I21" s="19">
        <v>3000</v>
      </c>
      <c r="J21" s="13">
        <f t="shared" si="4"/>
        <v>-1958</v>
      </c>
      <c r="K21" s="14">
        <f t="shared" si="3"/>
        <v>-39.491730536506658</v>
      </c>
    </row>
    <row r="22" spans="1:11" s="30" customFormat="1" ht="18" customHeight="1">
      <c r="A22" s="34" t="s">
        <v>79</v>
      </c>
      <c r="B22" s="19">
        <v>3620</v>
      </c>
      <c r="C22" s="35">
        <v>5300</v>
      </c>
      <c r="D22" s="35">
        <v>4207</v>
      </c>
      <c r="E22" s="14">
        <f t="shared" si="0"/>
        <v>79.377358490566039</v>
      </c>
      <c r="F22" s="19">
        <v>3656</v>
      </c>
      <c r="G22" s="19">
        <f t="shared" si="1"/>
        <v>551</v>
      </c>
      <c r="H22" s="14">
        <f t="shared" si="2"/>
        <v>15.071115973741794</v>
      </c>
      <c r="I22" s="19">
        <v>6000</v>
      </c>
      <c r="J22" s="13">
        <f t="shared" si="4"/>
        <v>2380</v>
      </c>
      <c r="K22" s="14">
        <f t="shared" si="3"/>
        <v>65.745856353591165</v>
      </c>
    </row>
    <row r="23" spans="1:11" s="33" customFormat="1" ht="18" customHeight="1">
      <c r="A23" s="31" t="s">
        <v>80</v>
      </c>
      <c r="B23" s="13"/>
      <c r="C23" s="13"/>
      <c r="D23" s="13"/>
      <c r="E23" s="14"/>
      <c r="F23" s="13"/>
      <c r="G23" s="13"/>
      <c r="H23" s="14"/>
      <c r="I23" s="13"/>
      <c r="J23" s="13">
        <f t="shared" si="4"/>
        <v>0</v>
      </c>
      <c r="K23" s="14"/>
    </row>
    <row r="24" spans="1:11" s="30" customFormat="1" ht="18" hidden="1" customHeight="1">
      <c r="A24" s="34" t="s">
        <v>81</v>
      </c>
      <c r="B24" s="19"/>
      <c r="C24" s="35"/>
      <c r="D24" s="19"/>
      <c r="E24" s="14"/>
      <c r="F24" s="19"/>
      <c r="G24" s="19"/>
      <c r="H24" s="14"/>
      <c r="I24" s="19"/>
      <c r="J24" s="13">
        <f t="shared" si="4"/>
        <v>0</v>
      </c>
      <c r="K24" s="14"/>
    </row>
    <row r="25" spans="1:11" s="30" customFormat="1" ht="18" hidden="1" customHeight="1">
      <c r="A25" s="34" t="s">
        <v>82</v>
      </c>
      <c r="B25" s="19"/>
      <c r="C25" s="35"/>
      <c r="D25" s="19"/>
      <c r="E25" s="14"/>
      <c r="F25" s="19"/>
      <c r="G25" s="19"/>
      <c r="H25" s="14"/>
      <c r="I25" s="19"/>
      <c r="J25" s="13">
        <f t="shared" si="4"/>
        <v>0</v>
      </c>
      <c r="K25" s="14"/>
    </row>
    <row r="26" spans="1:11" s="33" customFormat="1" ht="18" hidden="1" customHeight="1">
      <c r="A26" s="34" t="s">
        <v>83</v>
      </c>
      <c r="B26" s="13"/>
      <c r="C26" s="32"/>
      <c r="D26" s="13"/>
      <c r="E26" s="14"/>
      <c r="F26" s="13"/>
      <c r="G26" s="19"/>
      <c r="H26" s="14"/>
      <c r="I26" s="13"/>
      <c r="J26" s="13">
        <f t="shared" si="4"/>
        <v>0</v>
      </c>
      <c r="K26" s="14"/>
    </row>
    <row r="27" spans="1:11" s="30" customFormat="1" ht="18" hidden="1" customHeight="1">
      <c r="A27" s="36" t="s">
        <v>84</v>
      </c>
      <c r="B27" s="19"/>
      <c r="C27" s="19"/>
      <c r="D27" s="19"/>
      <c r="E27" s="14"/>
      <c r="F27" s="19"/>
      <c r="G27" s="19"/>
      <c r="H27" s="14"/>
      <c r="I27" s="19"/>
      <c r="J27" s="13">
        <f t="shared" si="4"/>
        <v>0</v>
      </c>
      <c r="K27" s="14"/>
    </row>
    <row r="28" spans="1:11" s="33" customFormat="1" ht="18" customHeight="1">
      <c r="A28" s="37" t="s">
        <v>85</v>
      </c>
      <c r="B28" s="13"/>
      <c r="C28" s="13"/>
      <c r="D28" s="13"/>
      <c r="E28" s="14"/>
      <c r="F28" s="13"/>
      <c r="G28" s="13"/>
      <c r="H28" s="14"/>
      <c r="I28" s="13"/>
      <c r="J28" s="13">
        <f t="shared" si="4"/>
        <v>0</v>
      </c>
      <c r="K28" s="14"/>
    </row>
    <row r="29" spans="1:11" s="30" customFormat="1" ht="18" hidden="1" customHeight="1">
      <c r="A29" s="36" t="s">
        <v>86</v>
      </c>
      <c r="B29" s="19"/>
      <c r="C29" s="19"/>
      <c r="D29" s="19"/>
      <c r="E29" s="14" t="e">
        <f t="shared" si="0"/>
        <v>#DIV/0!</v>
      </c>
      <c r="F29" s="19"/>
      <c r="G29" s="19">
        <f t="shared" si="1"/>
        <v>0</v>
      </c>
      <c r="H29" s="14" t="e">
        <f t="shared" si="2"/>
        <v>#DIV/0!</v>
      </c>
      <c r="I29" s="19"/>
      <c r="J29" s="13">
        <f t="shared" si="4"/>
        <v>0</v>
      </c>
      <c r="K29" s="14" t="e">
        <f t="shared" si="3"/>
        <v>#DIV/0!</v>
      </c>
    </row>
    <row r="30" spans="1:11" s="30" customFormat="1" ht="18" hidden="1" customHeight="1">
      <c r="A30" s="36" t="s">
        <v>87</v>
      </c>
      <c r="B30" s="19"/>
      <c r="C30" s="19"/>
      <c r="D30" s="19"/>
      <c r="E30" s="14" t="e">
        <f t="shared" si="0"/>
        <v>#DIV/0!</v>
      </c>
      <c r="F30" s="19"/>
      <c r="G30" s="19">
        <f t="shared" si="1"/>
        <v>0</v>
      </c>
      <c r="H30" s="14" t="e">
        <f t="shared" si="2"/>
        <v>#DIV/0!</v>
      </c>
      <c r="I30" s="19"/>
      <c r="J30" s="13">
        <f t="shared" si="4"/>
        <v>0</v>
      </c>
      <c r="K30" s="14" t="e">
        <f t="shared" si="3"/>
        <v>#DIV/0!</v>
      </c>
    </row>
    <row r="31" spans="1:11" s="30" customFormat="1" ht="18" hidden="1" customHeight="1">
      <c r="A31" s="36" t="s">
        <v>88</v>
      </c>
      <c r="B31" s="19"/>
      <c r="C31" s="19"/>
      <c r="D31" s="19"/>
      <c r="E31" s="14" t="e">
        <f t="shared" si="0"/>
        <v>#DIV/0!</v>
      </c>
      <c r="F31" s="19"/>
      <c r="G31" s="19">
        <f t="shared" si="1"/>
        <v>0</v>
      </c>
      <c r="H31" s="14" t="e">
        <f t="shared" si="2"/>
        <v>#DIV/0!</v>
      </c>
      <c r="I31" s="19"/>
      <c r="J31" s="13">
        <f t="shared" si="4"/>
        <v>0</v>
      </c>
      <c r="K31" s="14" t="e">
        <f t="shared" si="3"/>
        <v>#DIV/0!</v>
      </c>
    </row>
    <row r="32" spans="1:11" s="30" customFormat="1" ht="18" hidden="1" customHeight="1">
      <c r="A32" s="36" t="s">
        <v>89</v>
      </c>
      <c r="B32" s="19"/>
      <c r="C32" s="19"/>
      <c r="D32" s="19"/>
      <c r="E32" s="14" t="e">
        <f t="shared" si="0"/>
        <v>#DIV/0!</v>
      </c>
      <c r="F32" s="19"/>
      <c r="G32" s="19">
        <f t="shared" si="1"/>
        <v>0</v>
      </c>
      <c r="H32" s="14" t="e">
        <f t="shared" si="2"/>
        <v>#DIV/0!</v>
      </c>
      <c r="I32" s="19"/>
      <c r="J32" s="13">
        <f t="shared" si="4"/>
        <v>0</v>
      </c>
      <c r="K32" s="14" t="e">
        <f t="shared" si="3"/>
        <v>#DIV/0!</v>
      </c>
    </row>
    <row r="33" spans="1:11" s="30" customFormat="1" ht="18" hidden="1" customHeight="1">
      <c r="A33" s="36" t="s">
        <v>90</v>
      </c>
      <c r="B33" s="19"/>
      <c r="C33" s="19"/>
      <c r="D33" s="19"/>
      <c r="E33" s="14" t="e">
        <f t="shared" si="0"/>
        <v>#DIV/0!</v>
      </c>
      <c r="F33" s="19"/>
      <c r="G33" s="19">
        <f t="shared" si="1"/>
        <v>0</v>
      </c>
      <c r="H33" s="14" t="e">
        <f t="shared" si="2"/>
        <v>#DIV/0!</v>
      </c>
      <c r="I33" s="19"/>
      <c r="J33" s="13">
        <f t="shared" si="4"/>
        <v>0</v>
      </c>
      <c r="K33" s="14" t="e">
        <f t="shared" si="3"/>
        <v>#DIV/0!</v>
      </c>
    </row>
    <row r="34" spans="1:11" s="30" customFormat="1" ht="18" hidden="1" customHeight="1">
      <c r="A34" s="36" t="s">
        <v>91</v>
      </c>
      <c r="B34" s="19"/>
      <c r="C34" s="19"/>
      <c r="D34" s="19"/>
      <c r="E34" s="14" t="e">
        <f t="shared" si="0"/>
        <v>#DIV/0!</v>
      </c>
      <c r="F34" s="19"/>
      <c r="G34" s="19">
        <f t="shared" si="1"/>
        <v>0</v>
      </c>
      <c r="H34" s="14" t="e">
        <f t="shared" si="2"/>
        <v>#DIV/0!</v>
      </c>
      <c r="I34" s="19"/>
      <c r="J34" s="13">
        <f t="shared" si="4"/>
        <v>0</v>
      </c>
      <c r="K34" s="14" t="e">
        <f t="shared" si="3"/>
        <v>#DIV/0!</v>
      </c>
    </row>
    <row r="35" spans="1:11" s="33" customFormat="1" ht="18" customHeight="1">
      <c r="A35" s="37" t="s">
        <v>92</v>
      </c>
      <c r="B35" s="13">
        <f>B36+B37</f>
        <v>150</v>
      </c>
      <c r="C35" s="13">
        <f>C36+C37</f>
        <v>170</v>
      </c>
      <c r="D35" s="13">
        <f>D36+D37</f>
        <v>170</v>
      </c>
      <c r="E35" s="14">
        <f t="shared" si="0"/>
        <v>100</v>
      </c>
      <c r="F35" s="13">
        <f>F36+F37</f>
        <v>176</v>
      </c>
      <c r="G35" s="13">
        <f>G36+G37</f>
        <v>-6</v>
      </c>
      <c r="H35" s="14">
        <f t="shared" si="2"/>
        <v>-3.4090909090909087</v>
      </c>
      <c r="I35" s="13">
        <f>SUM(I36:I37)</f>
        <v>0</v>
      </c>
      <c r="J35" s="13">
        <f t="shared" si="4"/>
        <v>-150</v>
      </c>
      <c r="K35" s="14">
        <f t="shared" si="3"/>
        <v>-100</v>
      </c>
    </row>
    <row r="36" spans="1:11" s="30" customFormat="1" ht="18" customHeight="1">
      <c r="A36" s="36" t="s">
        <v>93</v>
      </c>
      <c r="B36" s="19">
        <v>150</v>
      </c>
      <c r="C36" s="19">
        <v>170</v>
      </c>
      <c r="D36" s="19">
        <v>170</v>
      </c>
      <c r="E36" s="14">
        <f t="shared" si="0"/>
        <v>100</v>
      </c>
      <c r="F36" s="19">
        <v>176</v>
      </c>
      <c r="G36" s="19">
        <f t="shared" si="1"/>
        <v>-6</v>
      </c>
      <c r="H36" s="14">
        <f t="shared" si="2"/>
        <v>-3.4090909090909087</v>
      </c>
      <c r="I36" s="19"/>
      <c r="J36" s="13">
        <f t="shared" si="4"/>
        <v>-150</v>
      </c>
      <c r="K36" s="14">
        <f t="shared" si="3"/>
        <v>-100</v>
      </c>
    </row>
    <row r="37" spans="1:11" s="30" customFormat="1" ht="18" customHeight="1">
      <c r="A37" s="36" t="s">
        <v>94</v>
      </c>
      <c r="B37" s="19"/>
      <c r="C37" s="19"/>
      <c r="D37" s="19"/>
      <c r="E37" s="14"/>
      <c r="F37" s="19"/>
      <c r="G37" s="19"/>
      <c r="H37" s="14"/>
      <c r="I37" s="19"/>
      <c r="J37" s="13">
        <f t="shared" si="4"/>
        <v>0</v>
      </c>
      <c r="K37" s="14"/>
    </row>
    <row r="38" spans="1:11" s="33" customFormat="1" ht="18" customHeight="1">
      <c r="A38" s="37" t="s">
        <v>95</v>
      </c>
      <c r="B38" s="13">
        <f>B39</f>
        <v>0</v>
      </c>
      <c r="C38" s="13">
        <f>C39</f>
        <v>29</v>
      </c>
      <c r="D38" s="13">
        <f>D39</f>
        <v>29</v>
      </c>
      <c r="E38" s="14">
        <f t="shared" si="0"/>
        <v>100</v>
      </c>
      <c r="F38" s="13">
        <f>F39</f>
        <v>-88</v>
      </c>
      <c r="G38" s="13">
        <f>G39</f>
        <v>117</v>
      </c>
      <c r="H38" s="14">
        <f t="shared" si="2"/>
        <v>-132.95454545454547</v>
      </c>
      <c r="I38" s="13">
        <f>I39</f>
        <v>0</v>
      </c>
      <c r="J38" s="13">
        <f t="shared" si="4"/>
        <v>0</v>
      </c>
      <c r="K38" s="14"/>
    </row>
    <row r="39" spans="1:11" s="33" customFormat="1" ht="18" customHeight="1">
      <c r="A39" s="36" t="s">
        <v>96</v>
      </c>
      <c r="B39" s="19"/>
      <c r="C39" s="35">
        <v>29</v>
      </c>
      <c r="D39" s="19">
        <v>29</v>
      </c>
      <c r="E39" s="14">
        <f t="shared" si="0"/>
        <v>100</v>
      </c>
      <c r="F39" s="13">
        <v>-88</v>
      </c>
      <c r="G39" s="19">
        <f t="shared" si="1"/>
        <v>117</v>
      </c>
      <c r="H39" s="14">
        <f t="shared" si="2"/>
        <v>-132.95454545454547</v>
      </c>
      <c r="I39" s="13"/>
      <c r="J39" s="13">
        <f t="shared" si="4"/>
        <v>0</v>
      </c>
      <c r="K39" s="14"/>
    </row>
    <row r="40" spans="1:11" s="33" customFormat="1" ht="18" customHeight="1">
      <c r="A40" s="37" t="s">
        <v>97</v>
      </c>
      <c r="B40" s="13"/>
      <c r="C40" s="13"/>
      <c r="D40" s="13"/>
      <c r="E40" s="14"/>
      <c r="F40" s="13"/>
      <c r="G40" s="19"/>
      <c r="H40" s="14"/>
      <c r="I40" s="13"/>
      <c r="J40" s="13">
        <f t="shared" si="4"/>
        <v>0</v>
      </c>
      <c r="K40" s="14"/>
    </row>
    <row r="41" spans="1:11" s="33" customFormat="1" ht="18" customHeight="1">
      <c r="A41" s="37" t="s">
        <v>98</v>
      </c>
      <c r="B41" s="13">
        <f>B42+B43+B44</f>
        <v>3413</v>
      </c>
      <c r="C41" s="13">
        <f>C42+C43+C44</f>
        <v>4733</v>
      </c>
      <c r="D41" s="13">
        <f>D42+D43+D44</f>
        <v>3475</v>
      </c>
      <c r="E41" s="14">
        <f t="shared" si="0"/>
        <v>73.420663427001898</v>
      </c>
      <c r="F41" s="13">
        <f>F42+F43+F44</f>
        <v>5463</v>
      </c>
      <c r="G41" s="13">
        <f>G42+G43+G44</f>
        <v>-1988</v>
      </c>
      <c r="H41" s="14">
        <f t="shared" si="2"/>
        <v>-36.390261760937214</v>
      </c>
      <c r="I41" s="13">
        <f>SUM(I42:I44)</f>
        <v>3913</v>
      </c>
      <c r="J41" s="13">
        <f t="shared" si="4"/>
        <v>500</v>
      </c>
      <c r="K41" s="14">
        <f t="shared" si="3"/>
        <v>14.64986815118664</v>
      </c>
    </row>
    <row r="42" spans="1:11" s="30" customFormat="1" ht="18" customHeight="1">
      <c r="A42" s="36" t="s">
        <v>99</v>
      </c>
      <c r="B42" s="19">
        <f>292-150</f>
        <v>142</v>
      </c>
      <c r="C42" s="35">
        <f>320+142</f>
        <v>462</v>
      </c>
      <c r="D42" s="35">
        <v>26</v>
      </c>
      <c r="E42" s="14">
        <f t="shared" si="0"/>
        <v>5.6277056277056277</v>
      </c>
      <c r="F42" s="19">
        <v>576</v>
      </c>
      <c r="G42" s="19">
        <f t="shared" si="1"/>
        <v>-550</v>
      </c>
      <c r="H42" s="14">
        <f t="shared" si="2"/>
        <v>-95.486111111111114</v>
      </c>
      <c r="I42" s="19">
        <v>3110</v>
      </c>
      <c r="J42" s="13">
        <f t="shared" si="4"/>
        <v>2968</v>
      </c>
      <c r="K42" s="14">
        <f t="shared" si="3"/>
        <v>2090.1408450704225</v>
      </c>
    </row>
    <row r="43" spans="1:11" s="30" customFormat="1" ht="18" customHeight="1">
      <c r="A43" s="36" t="s">
        <v>100</v>
      </c>
      <c r="B43" s="19"/>
      <c r="C43" s="35"/>
      <c r="D43" s="19"/>
      <c r="E43" s="14"/>
      <c r="F43" s="19"/>
      <c r="G43" s="19"/>
      <c r="H43" s="14"/>
      <c r="I43" s="19">
        <v>803</v>
      </c>
      <c r="J43" s="13">
        <f t="shared" si="4"/>
        <v>803</v>
      </c>
      <c r="K43" s="14"/>
    </row>
    <row r="44" spans="1:11" s="30" customFormat="1" ht="18" customHeight="1">
      <c r="A44" s="36" t="s">
        <v>101</v>
      </c>
      <c r="B44" s="19">
        <v>3271</v>
      </c>
      <c r="C44" s="35">
        <v>4271</v>
      </c>
      <c r="D44" s="35">
        <v>3449</v>
      </c>
      <c r="E44" s="14">
        <f t="shared" si="0"/>
        <v>80.753921798173735</v>
      </c>
      <c r="F44" s="19">
        <v>4887</v>
      </c>
      <c r="G44" s="19">
        <f t="shared" si="1"/>
        <v>-1438</v>
      </c>
      <c r="H44" s="14">
        <f t="shared" si="2"/>
        <v>-29.425005115612851</v>
      </c>
      <c r="I44" s="19"/>
      <c r="J44" s="13">
        <f t="shared" si="4"/>
        <v>-3271</v>
      </c>
      <c r="K44" s="14">
        <f t="shared" si="3"/>
        <v>-100</v>
      </c>
    </row>
    <row r="45" spans="1:11" s="33" customFormat="1" ht="18" customHeight="1">
      <c r="A45" s="37" t="s">
        <v>102</v>
      </c>
      <c r="B45" s="13">
        <f>B46</f>
        <v>5164</v>
      </c>
      <c r="C45" s="13">
        <f>C46</f>
        <v>4866</v>
      </c>
      <c r="D45" s="13">
        <f>D46</f>
        <v>4866</v>
      </c>
      <c r="E45" s="14">
        <f t="shared" si="0"/>
        <v>100</v>
      </c>
      <c r="F45" s="13">
        <f>F46</f>
        <v>576</v>
      </c>
      <c r="G45" s="13">
        <f t="shared" si="1"/>
        <v>4290</v>
      </c>
      <c r="H45" s="14">
        <f t="shared" si="2"/>
        <v>744.79166666666674</v>
      </c>
      <c r="I45" s="13">
        <f>I46</f>
        <v>7200</v>
      </c>
      <c r="J45" s="13">
        <f t="shared" si="4"/>
        <v>2036</v>
      </c>
      <c r="K45" s="14">
        <f t="shared" si="3"/>
        <v>39.426800929512005</v>
      </c>
    </row>
    <row r="46" spans="1:11" s="30" customFormat="1" ht="18" customHeight="1">
      <c r="A46" s="36" t="s">
        <v>103</v>
      </c>
      <c r="B46" s="19">
        <v>5164</v>
      </c>
      <c r="C46" s="19">
        <v>4866</v>
      </c>
      <c r="D46" s="19">
        <v>4866</v>
      </c>
      <c r="E46" s="14">
        <f t="shared" si="0"/>
        <v>100</v>
      </c>
      <c r="F46" s="19">
        <v>576</v>
      </c>
      <c r="G46" s="19">
        <f t="shared" si="1"/>
        <v>4290</v>
      </c>
      <c r="H46" s="14">
        <f t="shared" si="2"/>
        <v>744.79166666666674</v>
      </c>
      <c r="I46" s="19">
        <v>7200</v>
      </c>
      <c r="J46" s="13">
        <f t="shared" si="4"/>
        <v>2036</v>
      </c>
      <c r="K46" s="14">
        <f t="shared" si="3"/>
        <v>39.426800929512005</v>
      </c>
    </row>
    <row r="47" spans="1:11" s="33" customFormat="1" ht="18" customHeight="1">
      <c r="A47" s="31" t="s">
        <v>104</v>
      </c>
      <c r="B47" s="13">
        <f>B48</f>
        <v>0</v>
      </c>
      <c r="C47" s="13">
        <f>C48</f>
        <v>86</v>
      </c>
      <c r="D47" s="13">
        <f>D48</f>
        <v>85</v>
      </c>
      <c r="E47" s="14">
        <f t="shared" si="0"/>
        <v>98.837209302325576</v>
      </c>
      <c r="F47" s="13">
        <f>F48</f>
        <v>92</v>
      </c>
      <c r="G47" s="13">
        <f>G48</f>
        <v>-7</v>
      </c>
      <c r="H47" s="14">
        <f t="shared" si="2"/>
        <v>-7.608695652173914</v>
      </c>
      <c r="I47" s="13"/>
      <c r="J47" s="13">
        <f t="shared" si="4"/>
        <v>0</v>
      </c>
      <c r="K47" s="14"/>
    </row>
    <row r="48" spans="1:11" s="33" customFormat="1" ht="18" customHeight="1">
      <c r="A48" s="34" t="s">
        <v>105</v>
      </c>
      <c r="B48" s="19"/>
      <c r="C48" s="19">
        <v>86</v>
      </c>
      <c r="D48" s="19">
        <v>85</v>
      </c>
      <c r="E48" s="14">
        <f t="shared" si="0"/>
        <v>98.837209302325576</v>
      </c>
      <c r="F48" s="19">
        <v>92</v>
      </c>
      <c r="G48" s="19">
        <f t="shared" si="1"/>
        <v>-7</v>
      </c>
      <c r="H48" s="14">
        <f t="shared" si="2"/>
        <v>-7.608695652173914</v>
      </c>
      <c r="I48" s="19"/>
      <c r="J48" s="13">
        <f t="shared" si="4"/>
        <v>0</v>
      </c>
      <c r="K48" s="14"/>
    </row>
    <row r="49" spans="1:11" s="30" customFormat="1" ht="18" customHeight="1">
      <c r="A49" s="38" t="s">
        <v>106</v>
      </c>
      <c r="B49" s="13">
        <f>B47+B45+B41+B40+B38+B35+B28+B23+B17+B14+B11+B9+B7</f>
        <v>331478.5</v>
      </c>
      <c r="C49" s="13">
        <f>C47+C45+C41+C40+C38+C35+C28+C23+C17+C14+C11+C9+C7</f>
        <v>287939</v>
      </c>
      <c r="D49" s="13">
        <f>D47+D45+D41+D40+D38+D35+D28+D23+D17+D14+D11+D9+D7</f>
        <v>197619</v>
      </c>
      <c r="E49" s="14">
        <f t="shared" si="0"/>
        <v>68.632245024119683</v>
      </c>
      <c r="F49" s="13">
        <f>F47+F45+F41+F40+F38+F35+F28+F23+F17+F14+F11+F9+F7</f>
        <v>236099</v>
      </c>
      <c r="G49" s="13">
        <f>G47+G45+G41+G40+G38+G35+G28+G23+G17+G14+G11+G9+G7</f>
        <v>-38701</v>
      </c>
      <c r="H49" s="14">
        <f t="shared" si="2"/>
        <v>-16.391852570320079</v>
      </c>
      <c r="I49" s="13">
        <f>I47+I45+I41+I40+I38+I35+I28+I23+I17+I14+I11+I9+I7</f>
        <v>353513</v>
      </c>
      <c r="J49" s="13">
        <f t="shared" si="4"/>
        <v>22034.5</v>
      </c>
      <c r="K49" s="14">
        <f t="shared" si="3"/>
        <v>6.6473391185250321</v>
      </c>
    </row>
    <row r="50" spans="1:11" s="30" customFormat="1" ht="18" customHeight="1">
      <c r="A50" s="39" t="s">
        <v>107</v>
      </c>
      <c r="B50" s="13">
        <f>B51+B54+B56+B55</f>
        <v>5113</v>
      </c>
      <c r="C50" s="13">
        <f t="shared" ref="C50:I50" si="5">C51+C54+C56+C55</f>
        <v>16633.599999999999</v>
      </c>
      <c r="D50" s="13">
        <f t="shared" si="5"/>
        <v>105232</v>
      </c>
      <c r="E50" s="13"/>
      <c r="F50" s="13"/>
      <c r="G50" s="13"/>
      <c r="H50" s="13"/>
      <c r="I50" s="13">
        <f t="shared" si="5"/>
        <v>5000</v>
      </c>
      <c r="J50" s="13"/>
      <c r="K50" s="14"/>
    </row>
    <row r="51" spans="1:11" s="30" customFormat="1" ht="18" customHeight="1">
      <c r="A51" s="40" t="s">
        <v>108</v>
      </c>
      <c r="B51" s="19">
        <f>B52+B53</f>
        <v>5113</v>
      </c>
      <c r="C51" s="19">
        <f t="shared" ref="C51:I51" si="6">C52+C53</f>
        <v>7014.3</v>
      </c>
      <c r="D51" s="19">
        <f t="shared" si="6"/>
        <v>7014</v>
      </c>
      <c r="E51" s="19"/>
      <c r="F51" s="19"/>
      <c r="G51" s="19"/>
      <c r="H51" s="19"/>
      <c r="I51" s="19">
        <f t="shared" si="6"/>
        <v>5000</v>
      </c>
      <c r="J51" s="13"/>
      <c r="K51" s="23"/>
    </row>
    <row r="52" spans="1:11" s="30" customFormat="1" ht="18" customHeight="1">
      <c r="A52" s="40" t="s">
        <v>109</v>
      </c>
      <c r="B52" s="19">
        <v>5113</v>
      </c>
      <c r="C52" s="35">
        <v>7014.3</v>
      </c>
      <c r="D52" s="35">
        <v>7014</v>
      </c>
      <c r="E52" s="23"/>
      <c r="F52" s="19"/>
      <c r="G52" s="19"/>
      <c r="H52" s="23"/>
      <c r="I52" s="19">
        <v>5000</v>
      </c>
      <c r="J52" s="13"/>
      <c r="K52" s="23"/>
    </row>
    <row r="53" spans="1:11" s="30" customFormat="1" ht="18" customHeight="1">
      <c r="A53" s="40" t="s">
        <v>110</v>
      </c>
      <c r="B53" s="19"/>
      <c r="C53" s="35"/>
      <c r="D53" s="35"/>
      <c r="E53" s="23"/>
      <c r="F53" s="19"/>
      <c r="G53" s="19"/>
      <c r="H53" s="23"/>
      <c r="I53" s="19"/>
      <c r="J53" s="13"/>
      <c r="K53" s="23"/>
    </row>
    <row r="54" spans="1:11" s="30" customFormat="1" ht="18" customHeight="1">
      <c r="A54" s="40" t="s">
        <v>111</v>
      </c>
      <c r="B54" s="19"/>
      <c r="C54" s="35">
        <v>9619.2999999999993</v>
      </c>
      <c r="D54" s="35">
        <f>61785+27833</f>
        <v>89618</v>
      </c>
      <c r="E54" s="23"/>
      <c r="F54" s="19"/>
      <c r="G54" s="19"/>
      <c r="H54" s="23"/>
      <c r="I54" s="19"/>
      <c r="J54" s="13"/>
      <c r="K54" s="23"/>
    </row>
    <row r="55" spans="1:11" s="30" customFormat="1" ht="18" customHeight="1">
      <c r="A55" s="40" t="s">
        <v>112</v>
      </c>
      <c r="B55" s="19"/>
      <c r="C55" s="35"/>
      <c r="D55" s="19"/>
      <c r="E55" s="23"/>
      <c r="F55" s="19"/>
      <c r="G55" s="19"/>
      <c r="H55" s="23"/>
      <c r="I55" s="19"/>
      <c r="J55" s="13"/>
      <c r="K55" s="23"/>
    </row>
    <row r="56" spans="1:11" s="30" customFormat="1" ht="18" customHeight="1">
      <c r="A56" s="40" t="s">
        <v>113</v>
      </c>
      <c r="B56" s="19"/>
      <c r="C56" s="35"/>
      <c r="D56" s="19">
        <v>8600</v>
      </c>
      <c r="E56" s="23"/>
      <c r="F56" s="19"/>
      <c r="G56" s="19"/>
      <c r="H56" s="23"/>
      <c r="I56" s="19"/>
      <c r="J56" s="13"/>
      <c r="K56" s="23"/>
    </row>
    <row r="57" spans="1:11" s="33" customFormat="1" ht="18" customHeight="1">
      <c r="A57" s="39" t="s">
        <v>114</v>
      </c>
      <c r="B57" s="13">
        <f>B58</f>
        <v>47085</v>
      </c>
      <c r="C57" s="13">
        <f>C58</f>
        <v>60167</v>
      </c>
      <c r="D57" s="13">
        <f>D58</f>
        <v>60167</v>
      </c>
      <c r="E57" s="14"/>
      <c r="F57" s="13"/>
      <c r="G57" s="13"/>
      <c r="H57" s="14"/>
      <c r="I57" s="13">
        <f>I58</f>
        <v>45717</v>
      </c>
      <c r="J57" s="13"/>
      <c r="K57" s="14"/>
    </row>
    <row r="58" spans="1:11" s="30" customFormat="1" ht="18" customHeight="1">
      <c r="A58" s="40" t="s">
        <v>115</v>
      </c>
      <c r="B58" s="19">
        <v>47085</v>
      </c>
      <c r="C58" s="35">
        <f>47085+13082</f>
        <v>60167</v>
      </c>
      <c r="D58" s="35">
        <f>47085+13082</f>
        <v>60167</v>
      </c>
      <c r="E58" s="23"/>
      <c r="F58" s="19"/>
      <c r="G58" s="19"/>
      <c r="H58" s="23"/>
      <c r="I58" s="19">
        <v>45717</v>
      </c>
      <c r="J58" s="13"/>
      <c r="K58" s="23"/>
    </row>
    <row r="59" spans="1:11" s="30" customFormat="1" ht="18" customHeight="1">
      <c r="A59" s="38" t="s">
        <v>116</v>
      </c>
      <c r="B59" s="13">
        <f>B49+B50+B57</f>
        <v>383676.5</v>
      </c>
      <c r="C59" s="13">
        <f>C49+C50+C57</f>
        <v>364739.6</v>
      </c>
      <c r="D59" s="13">
        <f>D49+D50+D57</f>
        <v>363018</v>
      </c>
      <c r="E59" s="13"/>
      <c r="F59" s="13"/>
      <c r="G59" s="13"/>
      <c r="H59" s="13"/>
      <c r="I59" s="13">
        <f>I49+I50+I57</f>
        <v>404230</v>
      </c>
      <c r="J59" s="13"/>
      <c r="K59" s="14"/>
    </row>
    <row r="61" spans="1:11">
      <c r="C61" s="41"/>
    </row>
    <row r="62" spans="1:11">
      <c r="B62" s="41"/>
      <c r="C62" s="41"/>
      <c r="D62" s="41"/>
      <c r="E62" s="41"/>
      <c r="F62" s="41"/>
      <c r="G62" s="41"/>
      <c r="H62" s="41"/>
      <c r="I62" s="41"/>
    </row>
    <row r="162" spans="1:1">
      <c r="A162" s="7"/>
    </row>
  </sheetData>
  <mergeCells count="12">
    <mergeCell ref="J5:K5"/>
    <mergeCell ref="A2:K2"/>
    <mergeCell ref="A4:A6"/>
    <mergeCell ref="B4:H4"/>
    <mergeCell ref="I4:K4"/>
    <mergeCell ref="B5:B6"/>
    <mergeCell ref="C5:C6"/>
    <mergeCell ref="D5:D6"/>
    <mergeCell ref="E5:E6"/>
    <mergeCell ref="F5:F6"/>
    <mergeCell ref="G5:H5"/>
    <mergeCell ref="I5:I6"/>
  </mergeCells>
  <phoneticPr fontId="2" type="noConversion"/>
  <printOptions horizontalCentered="1"/>
  <pageMargins left="0.17" right="0.17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6</vt:i4>
      </vt:variant>
    </vt:vector>
  </HeadingPairs>
  <TitlesOfParts>
    <vt:vector size="11" baseType="lpstr">
      <vt:lpstr>封面</vt:lpstr>
      <vt:lpstr>玉林市政府性基金预算收入表</vt:lpstr>
      <vt:lpstr>玉林市政府性基金预算支出表</vt:lpstr>
      <vt:lpstr>玉林市市级政府性基金预算收入表</vt:lpstr>
      <vt:lpstr>玉林市市级政府性基金预算支出表</vt:lpstr>
      <vt:lpstr>玉林市市级政府性基金预算支出表!Print_Area</vt:lpstr>
      <vt:lpstr>玉林市政府性基金预算支出表!Print_Area</vt:lpstr>
      <vt:lpstr>玉林市市级政府性基金预算收入表!Print_Titles</vt:lpstr>
      <vt:lpstr>玉林市市级政府性基金预算支出表!Print_Titles</vt:lpstr>
      <vt:lpstr>玉林市政府性基金预算收入表!Print_Titles</vt:lpstr>
      <vt:lpstr>玉林市政府性基金预算支出表!Print_Titles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吴海妮</dc:creator>
  <cp:lastModifiedBy>王柳影</cp:lastModifiedBy>
  <cp:lastPrinted>2017-12-15T02:16:36Z</cp:lastPrinted>
  <dcterms:created xsi:type="dcterms:W3CDTF">2017-12-14T08:37:02Z</dcterms:created>
  <dcterms:modified xsi:type="dcterms:W3CDTF">2018-01-24T09:41:02Z</dcterms:modified>
</cp:coreProperties>
</file>